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-2" sheetId="9" r:id="rId9"/>
    <sheet name="січень" sheetId="10" r:id="rId10"/>
  </sheets>
  <externalReferences>
    <externalReference r:id="rId13"/>
  </externalReferences>
  <definedNames>
    <definedName name="_xlnm.Print_Area" localSheetId="9">'січень'!$A$1:$R$87</definedName>
    <definedName name="_xlnm.Print_Area" localSheetId="3">'червень'!$B$2:$J$85</definedName>
  </definedNames>
  <calcPr fullCalcOnLoad="1"/>
</workbook>
</file>

<file path=xl/sharedStrings.xml><?xml version="1.0" encoding="utf-8"?>
<sst xmlns="http://schemas.openxmlformats.org/spreadsheetml/2006/main" count="1292" uniqueCount="205">
  <si>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</si>
  <si>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</si>
  <si>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</si>
  <si>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</si>
  <si>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</si>
  <si>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</si>
  <si>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</si>
  <si>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</si>
  <si>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</si>
  <si>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</si>
  <si>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</si>
  <si>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</si>
  <si>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</si>
  <si>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</si>
  <si>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</si>
  <si>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</si>
  <si>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</si>
  <si>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</si>
  <si>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</si>
  <si>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</si>
  <si>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</si>
  <si>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</si>
  <si>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</si>
  <si>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</si>
  <si>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</si>
  <si>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</si>
  <si>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</si>
  <si>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</si>
  <si>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</si>
  <si>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</si>
  <si>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</si>
  <si>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</si>
  <si>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</si>
  <si>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</si>
  <si>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</si>
  <si>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</si>
  <si>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</si>
  <si>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</si>
  <si>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</si>
  <si>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</si>
  <si>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</si>
  <si>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</si>
  <si>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</si>
  <si>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</si>
  <si>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</si>
  <si>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</si>
  <si>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</si>
  <si>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</si>
  <si>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</si>
  <si>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</si>
  <si>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</si>
  <si>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</si>
  <si>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</si>
  <si>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</si>
  <si>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</si>
  <si>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</si>
  <si>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</si>
  <si>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</si>
  <si>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</si>
  <si>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</si>
  <si>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</si>
  <si>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</si>
  <si>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</si>
  <si>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</si>
  <si>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</si>
  <si>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</si>
  <si>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</si>
  <si>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</si>
  <si>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</si>
  <si>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</si>
  <si>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</si>
  <si>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</si>
  <si>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</si>
  <si>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</si>
  <si>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</si>
  <si>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</si>
  <si>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</si>
  <si>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</si>
  <si>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</si>
  <si>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</si>
  <si>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</si>
  <si>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</si>
  <si>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</si>
  <si>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</si>
  <si>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</si>
  <si>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</si>
  <si>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</si>
  <si>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</si>
  <si>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</si>
  <si>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</si>
  <si>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</si>
  <si>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</si>
  <si>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</si>
  <si>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</si>
  <si>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</si>
  <si>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</si>
  <si>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</si>
  <si>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</si>
  <si>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</si>
  <si>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</si>
  <si>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</si>
  <si>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</si>
  <si>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</si>
  <si>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</si>
  <si>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</si>
  <si>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</si>
  <si>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</si>
  <si>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</si>
  <si>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</si>
  <si>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</si>
  <si>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</si>
  <si>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</si>
  <si>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</si>
  <si>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</si>
  <si>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</si>
  <si>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</si>
  <si>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</si>
  <si>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</si>
  <si>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</si>
  <si>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</si>
  <si>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</si>
  <si>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</si>
  <si>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</si>
  <si>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</si>
  <si>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</si>
  <si>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</si>
  <si>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</si>
  <si>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</si>
  <si>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</si>
  <si>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</si>
  <si>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</si>
  <si>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</si>
  <si>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</si>
  <si>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</si>
  <si>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</si>
  <si>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</si>
  <si>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</si>
  <si>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</si>
  <si>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</si>
  <si>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</si>
  <si>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</si>
  <si>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</si>
  <si>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</si>
  <si>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</si>
  <si>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</si>
  <si>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</si>
  <si>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</si>
  <si>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</si>
  <si>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</si>
  <si>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</si>
  <si>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</si>
  <si>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</si>
  <si>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</si>
  <si>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</si>
  <si>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</si>
  <si>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</si>
  <si>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</si>
  <si>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</si>
  <si>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</si>
  <si>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</si>
  <si>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</si>
  <si>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</si>
  <si>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</si>
  <si>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</si>
  <si>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</si>
  <si>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</si>
  <si>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</si>
  <si>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</si>
  <si>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</si>
  <si>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</si>
  <si>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</si>
  <si>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</si>
  <si>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</si>
  <si>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</si>
  <si>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</si>
  <si>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</si>
  <si>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</si>
  <si>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</si>
  <si>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</si>
  <si>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</si>
  <si>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</si>
  <si>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</si>
  <si>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</si>
  <si>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</si>
  <si>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</si>
  <si>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</si>
  <si>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</si>
  <si>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</si>
  <si>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</si>
  <si>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</si>
  <si>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</si>
  <si>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</si>
  <si>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</si>
  <si>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</si>
  <si>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</si>
  <si>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</si>
  <si>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</si>
  <si>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31.08.16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</si>
  <si>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02.09.2016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</si>
  <si>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</t>
    </r>
  </si>
  <si>
    <t>Відхилення (+,-) до  плану на січень-вересень 2016 року</t>
  </si>
  <si>
    <t>% виконання  плану на січень-вересень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</si>
  <si>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</si>
  <si>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1.09.16 </t>
    </r>
    <r>
      <rPr>
        <b/>
        <sz val="10"/>
        <rFont val="Times New Roman"/>
        <family val="1"/>
      </rPr>
      <t>включно</t>
    </r>
  </si>
  <si>
    <t>Виконано у вересні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</si>
</sst>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60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191" fontId="80" fillId="0" borderId="10" xfId="0" applyNumberFormat="1" applyFont="1" applyBorder="1" applyAlignme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25" fillId="13" borderId="20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0" fontId="3" fillId="0" borderId="0" xfId="54" applyFont="1" applyAlignment="1" applyProtection="1">
      <alignment horizontal="center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увані"/>
      <sheetName val="трансгаз"/>
      <sheetName val="лисаки"/>
      <sheetName val="22012500"/>
      <sheetName val="очік на  ост квітень"/>
      <sheetName val="180000"/>
      <sheetName val="ЧКТЕ"/>
      <sheetName val="210811"/>
      <sheetName val="трансф"/>
      <sheetName val="розв-2"/>
      <sheetName val="розв"/>
      <sheetName val="240603-2"/>
      <sheetName val="Лист1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2">
        <row r="6">
          <cell r="G6">
            <v>969841.31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6" zoomScaleNormal="76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92" sqref="F9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5" t="s">
        <v>198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92"/>
      <c r="S1" s="93"/>
    </row>
    <row r="2" spans="2:19" s="1" customFormat="1" ht="15.75" customHeight="1">
      <c r="B2" s="436"/>
      <c r="C2" s="436"/>
      <c r="D2" s="436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37"/>
      <c r="B3" s="439"/>
      <c r="C3" s="440" t="s">
        <v>0</v>
      </c>
      <c r="D3" s="441" t="s">
        <v>121</v>
      </c>
      <c r="E3" s="34"/>
      <c r="F3" s="442" t="s">
        <v>26</v>
      </c>
      <c r="G3" s="443"/>
      <c r="H3" s="443"/>
      <c r="I3" s="443"/>
      <c r="J3" s="444"/>
      <c r="K3" s="89"/>
      <c r="L3" s="89"/>
      <c r="M3" s="89"/>
      <c r="N3" s="445" t="s">
        <v>202</v>
      </c>
      <c r="O3" s="446" t="s">
        <v>204</v>
      </c>
      <c r="P3" s="446"/>
      <c r="Q3" s="446"/>
      <c r="R3" s="446"/>
      <c r="S3" s="446"/>
    </row>
    <row r="4" spans="1:19" ht="22.5" customHeight="1">
      <c r="A4" s="437"/>
      <c r="B4" s="439"/>
      <c r="C4" s="440"/>
      <c r="D4" s="441"/>
      <c r="E4" s="447" t="s">
        <v>199</v>
      </c>
      <c r="F4" s="429" t="s">
        <v>34</v>
      </c>
      <c r="G4" s="422" t="s">
        <v>200</v>
      </c>
      <c r="H4" s="431" t="s">
        <v>201</v>
      </c>
      <c r="I4" s="422" t="s">
        <v>122</v>
      </c>
      <c r="J4" s="431" t="s">
        <v>123</v>
      </c>
      <c r="K4" s="91" t="s">
        <v>186</v>
      </c>
      <c r="L4" s="249" t="s">
        <v>185</v>
      </c>
      <c r="M4" s="96" t="s">
        <v>64</v>
      </c>
      <c r="N4" s="431"/>
      <c r="O4" s="433" t="s">
        <v>203</v>
      </c>
      <c r="P4" s="422" t="s">
        <v>50</v>
      </c>
      <c r="Q4" s="424" t="s">
        <v>49</v>
      </c>
      <c r="R4" s="97" t="s">
        <v>65</v>
      </c>
      <c r="S4" s="98" t="s">
        <v>64</v>
      </c>
    </row>
    <row r="5" spans="1:19" ht="67.5" customHeight="1">
      <c r="A5" s="438"/>
      <c r="B5" s="439"/>
      <c r="C5" s="440"/>
      <c r="D5" s="441"/>
      <c r="E5" s="448"/>
      <c r="F5" s="430"/>
      <c r="G5" s="423"/>
      <c r="H5" s="432"/>
      <c r="I5" s="423"/>
      <c r="J5" s="432"/>
      <c r="K5" s="425" t="s">
        <v>195</v>
      </c>
      <c r="L5" s="426"/>
      <c r="M5" s="427"/>
      <c r="N5" s="432"/>
      <c r="O5" s="434"/>
      <c r="P5" s="423"/>
      <c r="Q5" s="424"/>
      <c r="R5" s="425" t="s">
        <v>120</v>
      </c>
      <c r="S5" s="427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700350.81</v>
      </c>
      <c r="F8" s="191">
        <f>F9+F15+F18+F19+F20+F37+F17</f>
        <v>634655.66</v>
      </c>
      <c r="G8" s="191">
        <f aca="true" t="shared" si="0" ref="G8:G37">F8-E8</f>
        <v>-65695.15000000002</v>
      </c>
      <c r="H8" s="192">
        <f>F8/E8*100</f>
        <v>90.61967958600633</v>
      </c>
      <c r="I8" s="193">
        <f>F8-D8</f>
        <v>-299415.79000000004</v>
      </c>
      <c r="J8" s="193">
        <f>F8/D8*100</f>
        <v>67.94508707015935</v>
      </c>
      <c r="K8" s="191">
        <f>429512.12</f>
        <v>429512.12</v>
      </c>
      <c r="L8" s="191">
        <f aca="true" t="shared" si="1" ref="L8:L51">F8-K8</f>
        <v>205143.54000000004</v>
      </c>
      <c r="M8" s="250">
        <f aca="true" t="shared" si="2" ref="M8:M28">F8/K8</f>
        <v>1.4776199097711145</v>
      </c>
      <c r="N8" s="191">
        <f>N9+N15+N18+N19+N20+N17</f>
        <v>70992.83</v>
      </c>
      <c r="O8" s="191">
        <f>O9+O15+O18+O19+O20+O17</f>
        <v>1134.8300000000092</v>
      </c>
      <c r="P8" s="191">
        <f>O8-N8</f>
        <v>-69857.99999999999</v>
      </c>
      <c r="Q8" s="191">
        <f>O8/N8*100</f>
        <v>1.5985135400293373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374978.67</v>
      </c>
      <c r="F9" s="196">
        <v>340637.44</v>
      </c>
      <c r="G9" s="190">
        <f t="shared" si="0"/>
        <v>-34341.22999999998</v>
      </c>
      <c r="H9" s="197">
        <f>F9/E9*100</f>
        <v>90.84181774926024</v>
      </c>
      <c r="I9" s="198">
        <f>F9-D9</f>
        <v>-189951.56</v>
      </c>
      <c r="J9" s="198">
        <f>F9/D9*100</f>
        <v>64.19986844808317</v>
      </c>
      <c r="K9" s="199">
        <v>233711.01</v>
      </c>
      <c r="L9" s="199">
        <f t="shared" si="1"/>
        <v>106926.43</v>
      </c>
      <c r="M9" s="251">
        <f t="shared" si="2"/>
        <v>1.4575155873058783</v>
      </c>
      <c r="N9" s="197">
        <f>E9-серпень!E9</f>
        <v>42685</v>
      </c>
      <c r="O9" s="200">
        <f>F9-серпень!F9</f>
        <v>719.0800000000163</v>
      </c>
      <c r="P9" s="201">
        <f>O9-N9</f>
        <v>-41965.919999999984</v>
      </c>
      <c r="Q9" s="198">
        <f>O9/N9*100</f>
        <v>1.684619889891101</v>
      </c>
      <c r="R9" s="106"/>
      <c r="S9" s="107"/>
      <c r="T9" s="186">
        <f>D9-E9</f>
        <v>155610.33000000002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334470.24</v>
      </c>
      <c r="F10" s="171">
        <v>299351.03</v>
      </c>
      <c r="G10" s="109">
        <f t="shared" si="0"/>
        <v>-35119.20999999996</v>
      </c>
      <c r="H10" s="32">
        <f aca="true" t="shared" si="3" ref="H10:H36">F10/E10*100</f>
        <v>89.5000493915393</v>
      </c>
      <c r="I10" s="110">
        <f aca="true" t="shared" si="4" ref="I10:I37">F10-D10</f>
        <v>-185857.96999999997</v>
      </c>
      <c r="J10" s="110">
        <f aca="true" t="shared" si="5" ref="J10:J36">F10/D10*100</f>
        <v>61.69527564410389</v>
      </c>
      <c r="K10" s="112">
        <v>206618.21</v>
      </c>
      <c r="L10" s="112">
        <f t="shared" si="1"/>
        <v>92732.82000000004</v>
      </c>
      <c r="M10" s="252">
        <f t="shared" si="2"/>
        <v>1.4488124255843666</v>
      </c>
      <c r="N10" s="111">
        <f>E10-серпень!E10</f>
        <v>39100</v>
      </c>
      <c r="O10" s="179">
        <f>F10-серпень!F10</f>
        <v>677.6200000000536</v>
      </c>
      <c r="P10" s="112">
        <f aca="true" t="shared" si="6" ref="P10:P37">O10-N10</f>
        <v>-38422.37999999995</v>
      </c>
      <c r="Q10" s="198">
        <f aca="true" t="shared" si="7" ref="Q10:Q16">O10/N10*100</f>
        <v>1.7330434782610067</v>
      </c>
      <c r="R10" s="42"/>
      <c r="S10" s="100"/>
      <c r="T10" s="186">
        <f aca="true" t="shared" si="8" ref="T10:T73">D10-E10</f>
        <v>150738.76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21514.94</v>
      </c>
      <c r="F11" s="171">
        <v>24998.93</v>
      </c>
      <c r="G11" s="109">
        <f t="shared" si="0"/>
        <v>3483.9900000000016</v>
      </c>
      <c r="H11" s="32">
        <f t="shared" si="3"/>
        <v>116.19335215436344</v>
      </c>
      <c r="I11" s="110">
        <f t="shared" si="4"/>
        <v>1998.9300000000003</v>
      </c>
      <c r="J11" s="110">
        <f t="shared" si="5"/>
        <v>108.691</v>
      </c>
      <c r="K11" s="112">
        <v>12408.56</v>
      </c>
      <c r="L11" s="112">
        <f t="shared" si="1"/>
        <v>12590.37</v>
      </c>
      <c r="M11" s="252">
        <f t="shared" si="2"/>
        <v>2.0146519821800437</v>
      </c>
      <c r="N11" s="111">
        <f>E11-серпень!E11</f>
        <v>1800</v>
      </c>
      <c r="O11" s="179">
        <f>F11-серпень!F11</f>
        <v>0</v>
      </c>
      <c r="P11" s="112">
        <f t="shared" si="6"/>
        <v>-1800</v>
      </c>
      <c r="Q11" s="198">
        <f t="shared" si="7"/>
        <v>0</v>
      </c>
      <c r="R11" s="42"/>
      <c r="S11" s="100"/>
      <c r="T11" s="186">
        <f t="shared" si="8"/>
        <v>1485.0600000000013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5880.61</v>
      </c>
      <c r="F12" s="171">
        <v>6716.93</v>
      </c>
      <c r="G12" s="109">
        <f t="shared" si="0"/>
        <v>836.3200000000006</v>
      </c>
      <c r="H12" s="32">
        <f t="shared" si="3"/>
        <v>114.22165387604349</v>
      </c>
      <c r="I12" s="110">
        <f t="shared" si="4"/>
        <v>216.9300000000003</v>
      </c>
      <c r="J12" s="110">
        <f t="shared" si="5"/>
        <v>103.33738461538462</v>
      </c>
      <c r="K12" s="112">
        <v>3331.36</v>
      </c>
      <c r="L12" s="112">
        <f t="shared" si="1"/>
        <v>3385.57</v>
      </c>
      <c r="M12" s="252">
        <f t="shared" si="2"/>
        <v>2.0162726333989722</v>
      </c>
      <c r="N12" s="111">
        <f>E12-серпень!E12</f>
        <v>480</v>
      </c>
      <c r="O12" s="179">
        <f>F12-серпень!F12</f>
        <v>30.539999999999964</v>
      </c>
      <c r="P12" s="112">
        <f t="shared" si="6"/>
        <v>-449.46000000000004</v>
      </c>
      <c r="Q12" s="198">
        <f t="shared" si="7"/>
        <v>6.362499999999992</v>
      </c>
      <c r="R12" s="42"/>
      <c r="S12" s="100"/>
      <c r="T12" s="186">
        <f t="shared" si="8"/>
        <v>619.3900000000003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9664.84</v>
      </c>
      <c r="F13" s="171">
        <v>7028.18</v>
      </c>
      <c r="G13" s="109">
        <f t="shared" si="0"/>
        <v>-2636.66</v>
      </c>
      <c r="H13" s="32">
        <f t="shared" si="3"/>
        <v>72.71905173805257</v>
      </c>
      <c r="I13" s="110">
        <f t="shared" si="4"/>
        <v>-5371.82</v>
      </c>
      <c r="J13" s="110">
        <f t="shared" si="5"/>
        <v>56.678870967741936</v>
      </c>
      <c r="K13" s="112">
        <v>4976.73</v>
      </c>
      <c r="L13" s="112">
        <f t="shared" si="1"/>
        <v>2051.4500000000007</v>
      </c>
      <c r="M13" s="252">
        <f t="shared" si="2"/>
        <v>1.4122084179772665</v>
      </c>
      <c r="N13" s="111">
        <f>E13-серпень!E13</f>
        <v>1300</v>
      </c>
      <c r="O13" s="179">
        <f>F13-серпень!F13</f>
        <v>10.930000000000291</v>
      </c>
      <c r="P13" s="112">
        <f t="shared" si="6"/>
        <v>-1289.0699999999997</v>
      </c>
      <c r="Q13" s="198">
        <f t="shared" si="7"/>
        <v>0.840769230769253</v>
      </c>
      <c r="R13" s="42"/>
      <c r="S13" s="100"/>
      <c r="T13" s="186">
        <f t="shared" si="8"/>
        <v>2735.16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3448.04</v>
      </c>
      <c r="F14" s="171">
        <v>2542.38</v>
      </c>
      <c r="G14" s="109">
        <f t="shared" si="0"/>
        <v>-905.6599999999999</v>
      </c>
      <c r="H14" s="32">
        <f t="shared" si="3"/>
        <v>73.73406340993725</v>
      </c>
      <c r="I14" s="110">
        <f t="shared" si="4"/>
        <v>-937.6199999999999</v>
      </c>
      <c r="J14" s="110">
        <f t="shared" si="5"/>
        <v>73.05689655172414</v>
      </c>
      <c r="K14" s="112">
        <v>6376.14</v>
      </c>
      <c r="L14" s="112">
        <f t="shared" si="1"/>
        <v>-3833.76</v>
      </c>
      <c r="M14" s="252">
        <f t="shared" si="2"/>
        <v>0.39873340296793985</v>
      </c>
      <c r="N14" s="111">
        <f>E14-серпень!E14</f>
        <v>5</v>
      </c>
      <c r="O14" s="179">
        <f>F14-серпень!F14</f>
        <v>0</v>
      </c>
      <c r="P14" s="112">
        <f t="shared" si="6"/>
        <v>-5</v>
      </c>
      <c r="Q14" s="198">
        <f t="shared" si="7"/>
        <v>0</v>
      </c>
      <c r="R14" s="42"/>
      <c r="S14" s="100"/>
      <c r="T14" s="186">
        <f t="shared" si="8"/>
        <v>31.960000000000036</v>
      </c>
      <c r="U14" s="273">
        <v>2880</v>
      </c>
      <c r="V14" s="186">
        <f>U14-T14</f>
        <v>2848.04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370</v>
      </c>
      <c r="F15" s="196">
        <v>385.33</v>
      </c>
      <c r="G15" s="190">
        <f t="shared" si="0"/>
        <v>15.329999999999984</v>
      </c>
      <c r="H15" s="197">
        <f>F15/E15*100</f>
        <v>104.14324324324325</v>
      </c>
      <c r="I15" s="198">
        <f t="shared" si="4"/>
        <v>-114.67000000000002</v>
      </c>
      <c r="J15" s="198">
        <f t="shared" si="5"/>
        <v>77.066</v>
      </c>
      <c r="K15" s="201">
        <v>-734.58</v>
      </c>
      <c r="L15" s="201">
        <f t="shared" si="1"/>
        <v>1119.91</v>
      </c>
      <c r="M15" s="253">
        <f t="shared" si="2"/>
        <v>-0.5245582509733453</v>
      </c>
      <c r="N15" s="197">
        <f>E15-серпень!E15</f>
        <v>5</v>
      </c>
      <c r="O15" s="200">
        <f>F15-серпень!F15</f>
        <v>0.06999999999999318</v>
      </c>
      <c r="P15" s="201">
        <f t="shared" si="6"/>
        <v>-4.930000000000007</v>
      </c>
      <c r="Q15" s="198">
        <f t="shared" si="7"/>
        <v>1.3999999999998636</v>
      </c>
      <c r="R15" s="42"/>
      <c r="S15" s="100"/>
      <c r="T15" s="186">
        <f t="shared" si="8"/>
        <v>130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t="shared" si="1"/>
        <v>-381.9</v>
      </c>
      <c r="M16" s="253">
        <f t="shared" si="2"/>
        <v>0</v>
      </c>
      <c r="N16" s="197">
        <f>E16-серпень!E16</f>
        <v>0</v>
      </c>
      <c r="O16" s="200">
        <f>F16-серпень!F16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E17-серпень!E17</f>
        <v>0</v>
      </c>
      <c r="O17" s="200">
        <f>F17-серпень!F17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E18-серпень!E18</f>
        <v>0</v>
      </c>
      <c r="O18" s="200">
        <f>F18-серпень!F18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80060.4</v>
      </c>
      <c r="F19" s="196">
        <v>64439.28</v>
      </c>
      <c r="G19" s="190">
        <f t="shared" si="0"/>
        <v>-15621.119999999995</v>
      </c>
      <c r="H19" s="197">
        <f t="shared" si="3"/>
        <v>80.48833130986107</v>
      </c>
      <c r="I19" s="198">
        <f t="shared" si="4"/>
        <v>-45460.72</v>
      </c>
      <c r="J19" s="198">
        <f t="shared" si="5"/>
        <v>58.63446769790719</v>
      </c>
      <c r="K19" s="209">
        <v>43877.66</v>
      </c>
      <c r="L19" s="201">
        <f t="shared" si="1"/>
        <v>20561.619999999995</v>
      </c>
      <c r="M19" s="259">
        <f t="shared" si="2"/>
        <v>1.4686125012136015</v>
      </c>
      <c r="N19" s="197">
        <f>E19-серпень!E19</f>
        <v>10800</v>
      </c>
      <c r="O19" s="200">
        <f>F19-серпень!F19</f>
        <v>3</v>
      </c>
      <c r="P19" s="201">
        <f t="shared" si="6"/>
        <v>-10797</v>
      </c>
      <c r="Q19" s="198">
        <f aca="true" t="shared" si="9" ref="Q19:Q24">O19/N19*100</f>
        <v>0.027777777777777776</v>
      </c>
      <c r="R19" s="113"/>
      <c r="S19" s="114"/>
      <c r="T19" s="186">
        <f t="shared" si="8"/>
        <v>29839.600000000006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244835.94</v>
      </c>
      <c r="F20" s="272">
        <f>F21+F29+F30+F31+F32</f>
        <v>229087.63999999998</v>
      </c>
      <c r="G20" s="190">
        <f t="shared" si="0"/>
        <v>-15748.300000000017</v>
      </c>
      <c r="H20" s="197">
        <f t="shared" si="3"/>
        <v>93.56781524803915</v>
      </c>
      <c r="I20" s="198">
        <f t="shared" si="4"/>
        <v>-63889.01000000004</v>
      </c>
      <c r="J20" s="198">
        <f t="shared" si="5"/>
        <v>78.19313928260152</v>
      </c>
      <c r="K20" s="198">
        <v>147068.17</v>
      </c>
      <c r="L20" s="201">
        <f t="shared" si="1"/>
        <v>82019.46999999997</v>
      </c>
      <c r="M20" s="254">
        <f t="shared" si="2"/>
        <v>1.557696951012581</v>
      </c>
      <c r="N20" s="197">
        <f>N21+N30+N31+N32</f>
        <v>17502.83</v>
      </c>
      <c r="O20" s="200">
        <f>F20-серпень!F20</f>
        <v>412.679999999993</v>
      </c>
      <c r="P20" s="201">
        <f t="shared" si="6"/>
        <v>-17090.15000000001</v>
      </c>
      <c r="Q20" s="198">
        <f t="shared" si="9"/>
        <v>2.357790140222998</v>
      </c>
      <c r="R20" s="113"/>
      <c r="S20" s="114"/>
      <c r="T20" s="186">
        <f t="shared" si="8"/>
        <v>48140.71000000002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134080.79</v>
      </c>
      <c r="F21" s="211">
        <f>F22+F25+F26</f>
        <v>121795.23</v>
      </c>
      <c r="G21" s="190">
        <f t="shared" si="0"/>
        <v>-12285.560000000012</v>
      </c>
      <c r="H21" s="197">
        <f t="shared" si="3"/>
        <v>90.83719599205821</v>
      </c>
      <c r="I21" s="198">
        <f t="shared" si="4"/>
        <v>-53104.42</v>
      </c>
      <c r="J21" s="198">
        <f t="shared" si="5"/>
        <v>69.63720624941216</v>
      </c>
      <c r="K21" s="198">
        <v>79798.88</v>
      </c>
      <c r="L21" s="201">
        <f t="shared" si="1"/>
        <v>41996.34999999999</v>
      </c>
      <c r="M21" s="254">
        <f t="shared" si="2"/>
        <v>1.5262774364752987</v>
      </c>
      <c r="N21" s="197">
        <f>N22+N25+N26</f>
        <v>13311.830000000004</v>
      </c>
      <c r="O21" s="200">
        <f>F21-серпень!F21</f>
        <v>115.25999999999476</v>
      </c>
      <c r="P21" s="201">
        <f t="shared" si="6"/>
        <v>-13196.570000000009</v>
      </c>
      <c r="Q21" s="198">
        <f t="shared" si="9"/>
        <v>0.8658463937715155</v>
      </c>
      <c r="R21" s="113"/>
      <c r="S21" s="114"/>
      <c r="T21" s="186">
        <f t="shared" si="8"/>
        <v>40818.859999999986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15124.48</v>
      </c>
      <c r="F22" s="213">
        <v>14879.35</v>
      </c>
      <c r="G22" s="212">
        <f t="shared" si="0"/>
        <v>-245.1299999999992</v>
      </c>
      <c r="H22" s="214">
        <f t="shared" si="3"/>
        <v>98.37925006347326</v>
      </c>
      <c r="I22" s="215">
        <f t="shared" si="4"/>
        <v>-3620.6499999999996</v>
      </c>
      <c r="J22" s="215">
        <f t="shared" si="5"/>
        <v>80.42891891891892</v>
      </c>
      <c r="K22" s="216">
        <v>8673.74</v>
      </c>
      <c r="L22" s="206">
        <f t="shared" si="1"/>
        <v>6205.610000000001</v>
      </c>
      <c r="M22" s="262">
        <f t="shared" si="2"/>
        <v>1.7154480074339329</v>
      </c>
      <c r="N22" s="214">
        <f>E22-серпень!E22</f>
        <v>547.5799999999999</v>
      </c>
      <c r="O22" s="217">
        <f>F22-серпень!F22</f>
        <v>5.880000000001019</v>
      </c>
      <c r="P22" s="218">
        <f t="shared" si="6"/>
        <v>-541.6999999999989</v>
      </c>
      <c r="Q22" s="215">
        <f t="shared" si="9"/>
        <v>1.0738156981630116</v>
      </c>
      <c r="R22" s="113"/>
      <c r="S22" s="114"/>
      <c r="T22" s="186">
        <f t="shared" si="8"/>
        <v>3375.5200000000004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1024.4</v>
      </c>
      <c r="F23" s="203">
        <v>626.21</v>
      </c>
      <c r="G23" s="241">
        <f t="shared" si="0"/>
        <v>-398.19000000000005</v>
      </c>
      <c r="H23" s="242">
        <f t="shared" si="3"/>
        <v>61.12944162436548</v>
      </c>
      <c r="I23" s="243">
        <f t="shared" si="4"/>
        <v>-1373.79</v>
      </c>
      <c r="J23" s="243">
        <f t="shared" si="5"/>
        <v>31.3105</v>
      </c>
      <c r="K23" s="261">
        <v>526.9</v>
      </c>
      <c r="L23" s="261">
        <f t="shared" si="1"/>
        <v>99.31000000000006</v>
      </c>
      <c r="M23" s="263">
        <f t="shared" si="2"/>
        <v>1.1884797874359463</v>
      </c>
      <c r="N23" s="239">
        <f>E23-серпень!E23</f>
        <v>150.0000000000001</v>
      </c>
      <c r="O23" s="239">
        <f>F23-серпень!F23</f>
        <v>2.57000000000005</v>
      </c>
      <c r="P23" s="240">
        <f t="shared" si="6"/>
        <v>-147.43000000000006</v>
      </c>
      <c r="Q23" s="240">
        <f t="shared" si="9"/>
        <v>1.7133333333333653</v>
      </c>
      <c r="R23" s="113"/>
      <c r="S23" s="114"/>
      <c r="T23" s="186">
        <f t="shared" si="8"/>
        <v>975.5999999999999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14100.08</v>
      </c>
      <c r="F24" s="203">
        <v>14253.14</v>
      </c>
      <c r="G24" s="241">
        <f t="shared" si="0"/>
        <v>153.0599999999995</v>
      </c>
      <c r="H24" s="242">
        <f t="shared" si="3"/>
        <v>101.08552575588223</v>
      </c>
      <c r="I24" s="243">
        <f t="shared" si="4"/>
        <v>-2246.8600000000006</v>
      </c>
      <c r="J24" s="243">
        <f t="shared" si="5"/>
        <v>86.38266666666667</v>
      </c>
      <c r="K24" s="261">
        <v>8146.84</v>
      </c>
      <c r="L24" s="261">
        <f t="shared" si="1"/>
        <v>6106.299999999999</v>
      </c>
      <c r="M24" s="263">
        <f t="shared" si="2"/>
        <v>1.749529879069676</v>
      </c>
      <c r="N24" s="239">
        <f>E24-серпень!E24</f>
        <v>397.5799999999999</v>
      </c>
      <c r="O24" s="239">
        <f>F24-серпень!F24</f>
        <v>3.3099999999994907</v>
      </c>
      <c r="P24" s="240">
        <f t="shared" si="6"/>
        <v>-394.27000000000044</v>
      </c>
      <c r="Q24" s="240">
        <f t="shared" si="9"/>
        <v>0.8325368479298484</v>
      </c>
      <c r="R24" s="113"/>
      <c r="S24" s="114"/>
      <c r="T24" s="186">
        <f t="shared" si="8"/>
        <v>2399.92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927.34</v>
      </c>
      <c r="F25" s="213">
        <v>669.01</v>
      </c>
      <c r="G25" s="212">
        <f t="shared" si="0"/>
        <v>-258.33000000000004</v>
      </c>
      <c r="H25" s="214">
        <f t="shared" si="3"/>
        <v>72.14290335799167</v>
      </c>
      <c r="I25" s="215">
        <f t="shared" si="4"/>
        <v>-330.99</v>
      </c>
      <c r="J25" s="215">
        <f t="shared" si="5"/>
        <v>66.901</v>
      </c>
      <c r="K25" s="215">
        <v>3116.95</v>
      </c>
      <c r="L25" s="215">
        <f t="shared" si="1"/>
        <v>-2447.9399999999996</v>
      </c>
      <c r="M25" s="257">
        <f t="shared" si="2"/>
        <v>0.2146361026002984</v>
      </c>
      <c r="N25" s="214">
        <f>E25-серпень!E25</f>
        <v>34.200000000000045</v>
      </c>
      <c r="O25" s="217">
        <f>F25-серпень!F25</f>
        <v>0.009999999999990905</v>
      </c>
      <c r="P25" s="218">
        <f t="shared" si="6"/>
        <v>-34.190000000000055</v>
      </c>
      <c r="Q25" s="215"/>
      <c r="R25" s="113"/>
      <c r="S25" s="114"/>
      <c r="T25" s="186">
        <f t="shared" si="8"/>
        <v>72.65999999999997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118028.97</v>
      </c>
      <c r="F26" s="213">
        <v>106246.87</v>
      </c>
      <c r="G26" s="212">
        <f t="shared" si="0"/>
        <v>-11782.100000000006</v>
      </c>
      <c r="H26" s="214">
        <f t="shared" si="3"/>
        <v>90.01762025035039</v>
      </c>
      <c r="I26" s="215">
        <f t="shared" si="4"/>
        <v>-49152.78</v>
      </c>
      <c r="J26" s="215">
        <f t="shared" si="5"/>
        <v>68.3700832016031</v>
      </c>
      <c r="K26" s="216">
        <v>68008.19</v>
      </c>
      <c r="L26" s="216">
        <f t="shared" si="1"/>
        <v>38238.67999999999</v>
      </c>
      <c r="M26" s="256">
        <f t="shared" si="2"/>
        <v>1.5622658094561845</v>
      </c>
      <c r="N26" s="214">
        <f>E26-серпень!E26</f>
        <v>12730.050000000003</v>
      </c>
      <c r="O26" s="217">
        <f>F26-серпень!F26</f>
        <v>109.36999999999534</v>
      </c>
      <c r="P26" s="218">
        <f t="shared" si="6"/>
        <v>-12620.680000000008</v>
      </c>
      <c r="Q26" s="215">
        <f>O26/N26*100</f>
        <v>0.8591482358670651</v>
      </c>
      <c r="R26" s="113"/>
      <c r="S26" s="114"/>
      <c r="T26" s="186">
        <f t="shared" si="8"/>
        <v>37370.67999999999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36881.8</v>
      </c>
      <c r="F27" s="203">
        <v>34068.46</v>
      </c>
      <c r="G27" s="241">
        <f t="shared" si="0"/>
        <v>-2813.340000000004</v>
      </c>
      <c r="H27" s="242">
        <f t="shared" si="3"/>
        <v>92.37201004289378</v>
      </c>
      <c r="I27" s="243">
        <f t="shared" si="4"/>
        <v>-13298.54</v>
      </c>
      <c r="J27" s="243">
        <f t="shared" si="5"/>
        <v>71.9244621783098</v>
      </c>
      <c r="K27" s="261">
        <v>18442.07</v>
      </c>
      <c r="L27" s="261">
        <f t="shared" si="1"/>
        <v>15626.39</v>
      </c>
      <c r="M27" s="263">
        <f t="shared" si="2"/>
        <v>1.8473229957374633</v>
      </c>
      <c r="N27" s="239">
        <f>E27-серпень!E27</f>
        <v>3590.050000000003</v>
      </c>
      <c r="O27" s="239">
        <f>F27-серпень!F27</f>
        <v>30.639999999999418</v>
      </c>
      <c r="P27" s="240">
        <f t="shared" si="6"/>
        <v>-3559.4100000000035</v>
      </c>
      <c r="Q27" s="240">
        <f>O27/N27*100</f>
        <v>0.8534700073814958</v>
      </c>
      <c r="R27" s="113"/>
      <c r="S27" s="114"/>
      <c r="T27" s="186">
        <f t="shared" si="8"/>
        <v>10485.199999999997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81147.17</v>
      </c>
      <c r="F28" s="203">
        <v>72178.42</v>
      </c>
      <c r="G28" s="241">
        <f t="shared" si="0"/>
        <v>-8968.75</v>
      </c>
      <c r="H28" s="242">
        <f t="shared" si="3"/>
        <v>88.94755048142777</v>
      </c>
      <c r="I28" s="243">
        <f t="shared" si="4"/>
        <v>-35854.229999999996</v>
      </c>
      <c r="J28" s="243">
        <f t="shared" si="5"/>
        <v>66.81167221205811</v>
      </c>
      <c r="K28" s="261">
        <v>49566.12</v>
      </c>
      <c r="L28" s="261">
        <f t="shared" si="1"/>
        <v>22612.299999999996</v>
      </c>
      <c r="M28" s="263">
        <f t="shared" si="2"/>
        <v>1.4562047624466066</v>
      </c>
      <c r="N28" s="239">
        <f>E28-серпень!E28</f>
        <v>9140</v>
      </c>
      <c r="O28" s="239">
        <f>F28-серпень!F28</f>
        <v>78.75</v>
      </c>
      <c r="P28" s="240">
        <f t="shared" si="6"/>
        <v>-9061.25</v>
      </c>
      <c r="Q28" s="240">
        <f>O28/N28*100</f>
        <v>0.861597374179431</v>
      </c>
      <c r="R28" s="113"/>
      <c r="S28" s="114"/>
      <c r="T28" s="186">
        <f t="shared" si="8"/>
        <v>26885.479999999996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E29-серпень!E29</f>
        <v>0</v>
      </c>
      <c r="O29" s="200">
        <f>F29-серпень!F29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55.31</v>
      </c>
      <c r="F30" s="196">
        <v>85.95</v>
      </c>
      <c r="G30" s="190">
        <f t="shared" si="0"/>
        <v>30.64</v>
      </c>
      <c r="H30" s="197">
        <f t="shared" si="3"/>
        <v>155.39685409510034</v>
      </c>
      <c r="I30" s="198">
        <f t="shared" si="4"/>
        <v>8.950000000000003</v>
      </c>
      <c r="J30" s="198">
        <f t="shared" si="5"/>
        <v>111.62337662337663</v>
      </c>
      <c r="K30" s="198">
        <v>48.85</v>
      </c>
      <c r="L30" s="198">
        <f t="shared" si="1"/>
        <v>37.1</v>
      </c>
      <c r="M30" s="255">
        <f>F30/K30</f>
        <v>1.759467758444217</v>
      </c>
      <c r="N30" s="197">
        <f>E30-серпень!E30</f>
        <v>7</v>
      </c>
      <c r="O30" s="200">
        <f>F30-серпень!F30</f>
        <v>0</v>
      </c>
      <c r="P30" s="201">
        <f t="shared" si="6"/>
        <v>-7</v>
      </c>
      <c r="Q30" s="198">
        <f>O30/N30*100</f>
        <v>0</v>
      </c>
      <c r="R30" s="113"/>
      <c r="S30" s="114"/>
      <c r="T30" s="186">
        <f t="shared" si="8"/>
        <v>21.689999999999998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-150.23</v>
      </c>
      <c r="G31" s="190">
        <f t="shared" si="0"/>
        <v>-150.23</v>
      </c>
      <c r="H31" s="197"/>
      <c r="I31" s="198">
        <f t="shared" si="4"/>
        <v>-150.23</v>
      </c>
      <c r="J31" s="198"/>
      <c r="K31" s="198">
        <v>-614.57</v>
      </c>
      <c r="L31" s="198">
        <f t="shared" si="1"/>
        <v>464.34000000000003</v>
      </c>
      <c r="M31" s="255">
        <f>F31/K31</f>
        <v>0.24444733716256892</v>
      </c>
      <c r="N31" s="197">
        <f>E31-серпень!E31</f>
        <v>0</v>
      </c>
      <c r="O31" s="200">
        <f>F31-серпень!F31</f>
        <v>0</v>
      </c>
      <c r="P31" s="201">
        <f t="shared" si="6"/>
        <v>0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v>110699.84</v>
      </c>
      <c r="F32" s="203">
        <v>107356.54</v>
      </c>
      <c r="G32" s="202">
        <f t="shared" si="0"/>
        <v>-3343.300000000003</v>
      </c>
      <c r="H32" s="204">
        <f t="shared" si="3"/>
        <v>96.9798511000558</v>
      </c>
      <c r="I32" s="205">
        <f t="shared" si="4"/>
        <v>-10643.460000000006</v>
      </c>
      <c r="J32" s="205">
        <f t="shared" si="5"/>
        <v>90.98011864406779</v>
      </c>
      <c r="K32" s="219">
        <v>67835.01</v>
      </c>
      <c r="L32" s="219">
        <f>F32-K32</f>
        <v>39521.53</v>
      </c>
      <c r="M32" s="411">
        <f>F32/K32</f>
        <v>1.5826125771928095</v>
      </c>
      <c r="N32" s="197">
        <f>E32-серпень!E32</f>
        <v>4184</v>
      </c>
      <c r="O32" s="200">
        <f>F32-серпень!F32</f>
        <v>297.41999999999825</v>
      </c>
      <c r="P32" s="207">
        <f t="shared" si="6"/>
        <v>-3886.5800000000017</v>
      </c>
      <c r="Q32" s="205">
        <f>O32/N32*100</f>
        <v>7.10850860420646</v>
      </c>
      <c r="R32" s="113"/>
      <c r="S32" s="114"/>
      <c r="T32" s="186">
        <f t="shared" si="8"/>
        <v>7300.1600000000035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-1.2</v>
      </c>
      <c r="L33" s="142">
        <f t="shared" si="1"/>
        <v>1.43</v>
      </c>
      <c r="M33" s="264">
        <f aca="true" t="shared" si="10" ref="M33:M39">F33/K33</f>
        <v>-0.19166666666666668</v>
      </c>
      <c r="N33" s="111">
        <f>E33-серпень!E33</f>
        <v>0</v>
      </c>
      <c r="O33" s="179">
        <f>F33-серпень!F33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v>28217</v>
      </c>
      <c r="E34" s="109">
        <v>27862.97</v>
      </c>
      <c r="F34" s="171">
        <v>27397.62</v>
      </c>
      <c r="G34" s="109">
        <f t="shared" si="0"/>
        <v>-465.3500000000022</v>
      </c>
      <c r="H34" s="111">
        <f t="shared" si="3"/>
        <v>98.32986217908571</v>
      </c>
      <c r="I34" s="110">
        <f t="shared" si="4"/>
        <v>-819.380000000001</v>
      </c>
      <c r="J34" s="110">
        <f t="shared" si="5"/>
        <v>97.09614771237197</v>
      </c>
      <c r="K34" s="142">
        <v>16931.33</v>
      </c>
      <c r="L34" s="142">
        <f t="shared" si="1"/>
        <v>10466.289999999997</v>
      </c>
      <c r="M34" s="264">
        <f t="shared" si="10"/>
        <v>1.618161124967737</v>
      </c>
      <c r="N34" s="111">
        <f>E34-серпень!E34</f>
        <v>900</v>
      </c>
      <c r="O34" s="179">
        <f>F34-серпень!F34</f>
        <v>14.539999999997235</v>
      </c>
      <c r="P34" s="112">
        <f t="shared" si="6"/>
        <v>-885.4600000000028</v>
      </c>
      <c r="Q34" s="110">
        <f>O34/N34*100</f>
        <v>1.6155555555552485</v>
      </c>
      <c r="R34" s="113"/>
      <c r="S34" s="114"/>
      <c r="T34" s="186">
        <f t="shared" si="8"/>
        <v>354.02999999999884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v>89732</v>
      </c>
      <c r="E35" s="109">
        <v>82820.08</v>
      </c>
      <c r="F35" s="171">
        <v>79933.68</v>
      </c>
      <c r="G35" s="109">
        <f t="shared" si="0"/>
        <v>-2886.4000000000087</v>
      </c>
      <c r="H35" s="111">
        <f t="shared" si="3"/>
        <v>96.51485485162534</v>
      </c>
      <c r="I35" s="110">
        <f t="shared" si="4"/>
        <v>-9798.320000000007</v>
      </c>
      <c r="J35" s="110">
        <f t="shared" si="5"/>
        <v>89.0804618196407</v>
      </c>
      <c r="K35" s="142">
        <v>50888.07</v>
      </c>
      <c r="L35" s="142">
        <f t="shared" si="1"/>
        <v>29045.609999999993</v>
      </c>
      <c r="M35" s="264">
        <f t="shared" si="10"/>
        <v>1.570774446741643</v>
      </c>
      <c r="N35" s="111">
        <f>E35-серпень!E35</f>
        <v>3284</v>
      </c>
      <c r="O35" s="179">
        <f>F35-серпень!F35</f>
        <v>282.8799999999901</v>
      </c>
      <c r="P35" s="112">
        <f t="shared" si="6"/>
        <v>-3001.12000000001</v>
      </c>
      <c r="Q35" s="110">
        <f>O35/N35*100</f>
        <v>8.613885505480818</v>
      </c>
      <c r="R35" s="113"/>
      <c r="S35" s="114"/>
      <c r="T35" s="186">
        <f t="shared" si="8"/>
        <v>6911.919999999998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25</v>
      </c>
      <c r="G36" s="109">
        <f t="shared" si="0"/>
        <v>8.21</v>
      </c>
      <c r="H36" s="111">
        <f t="shared" si="3"/>
        <v>148.89815366289457</v>
      </c>
      <c r="I36" s="110">
        <f t="shared" si="4"/>
        <v>-26</v>
      </c>
      <c r="J36" s="110">
        <f t="shared" si="5"/>
        <v>49.01960784313725</v>
      </c>
      <c r="K36" s="142">
        <v>16.81</v>
      </c>
      <c r="L36" s="142">
        <f t="shared" si="1"/>
        <v>8.190000000000001</v>
      </c>
      <c r="M36" s="264">
        <f t="shared" si="10"/>
        <v>1.48720999405116</v>
      </c>
      <c r="N36" s="111">
        <f>E36-серпень!E36</f>
        <v>0</v>
      </c>
      <c r="O36" s="179">
        <f>F36-серпень!F36</f>
        <v>0</v>
      </c>
      <c r="P36" s="112">
        <f t="shared" si="6"/>
        <v>0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F37-серпень!F37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48196.03</v>
      </c>
      <c r="F38" s="191">
        <f>F39+F40+F41+F42+F43+F45+F47+F48+F49+F50+F51+F56+F57+F61+F44</f>
        <v>46651.27999999999</v>
      </c>
      <c r="G38" s="191">
        <f>G39+G40+G41+G42+G43+G45+G47+G48+G49+G50+G51+G56+G57+G61</f>
        <v>-1571.8999999999978</v>
      </c>
      <c r="H38" s="192">
        <f>F38/E38*100</f>
        <v>96.79486048954654</v>
      </c>
      <c r="I38" s="193">
        <f>F38-D38</f>
        <v>-10184.200000000012</v>
      </c>
      <c r="J38" s="193">
        <f>F38/D38*100</f>
        <v>82.08126332354365</v>
      </c>
      <c r="K38" s="191">
        <v>21607.34</v>
      </c>
      <c r="L38" s="191">
        <f t="shared" si="1"/>
        <v>25043.93999999999</v>
      </c>
      <c r="M38" s="250">
        <f t="shared" si="10"/>
        <v>2.159047805051431</v>
      </c>
      <c r="N38" s="191">
        <f>N39+N40+N41+N42+N43+N45+N47+N48+N49+N50+N51+N56+N57+N61+N44</f>
        <v>5135</v>
      </c>
      <c r="O38" s="191">
        <f>O39+O40+O41+O42+O43+O45+O47+O48+O49+O50+O51+O56+O57+O61+O44</f>
        <v>3663.010000000002</v>
      </c>
      <c r="P38" s="191">
        <f>P39+P40+P41+P42+P43+P45+P47+P48+P49+P50+P51+P56+P57+P61</f>
        <v>-1471.9899999999982</v>
      </c>
      <c r="Q38" s="191">
        <f>O38/N38*100</f>
        <v>71.33417721518991</v>
      </c>
      <c r="R38" s="15" t="e">
        <f>#N/A</f>
        <v>#N/A</v>
      </c>
      <c r="S38" s="15" t="e">
        <f>#N/A</f>
        <v>#N/A</v>
      </c>
      <c r="T38" s="186">
        <f t="shared" si="8"/>
        <v>8639.450000000004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383</v>
      </c>
      <c r="F39" s="196">
        <v>416.84</v>
      </c>
      <c r="G39" s="202">
        <f>F39-E39</f>
        <v>33.839999999999975</v>
      </c>
      <c r="H39" s="204">
        <f aca="true" t="shared" si="11" ref="H39:H62">F39/E39*100</f>
        <v>108.8355091383812</v>
      </c>
      <c r="I39" s="205">
        <f>F39-D39</f>
        <v>16.839999999999975</v>
      </c>
      <c r="J39" s="205">
        <f>F39/D39*100</f>
        <v>104.21000000000001</v>
      </c>
      <c r="K39" s="205">
        <v>-60.36</v>
      </c>
      <c r="L39" s="205">
        <f t="shared" si="1"/>
        <v>477.2</v>
      </c>
      <c r="M39" s="266">
        <f t="shared" si="10"/>
        <v>-6.905897945659377</v>
      </c>
      <c r="N39" s="204">
        <f>E39-серпень!E39</f>
        <v>3</v>
      </c>
      <c r="O39" s="208">
        <f>F39-серпень!F39</f>
        <v>0</v>
      </c>
      <c r="P39" s="207">
        <f>O39-N39</f>
        <v>-3</v>
      </c>
      <c r="Q39" s="205">
        <f aca="true" t="shared" si="12" ref="Q39:Q62">O39/N39*100</f>
        <v>0</v>
      </c>
      <c r="R39" s="42"/>
      <c r="S39" s="100"/>
      <c r="T39" s="186">
        <f t="shared" si="8"/>
        <v>17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v>23237</v>
      </c>
      <c r="F40" s="196">
        <v>24166.13</v>
      </c>
      <c r="G40" s="202">
        <f aca="true" t="shared" si="13" ref="G40:G63">F40-E40</f>
        <v>929.130000000001</v>
      </c>
      <c r="H40" s="204">
        <f t="shared" si="11"/>
        <v>103.99849378146922</v>
      </c>
      <c r="I40" s="205">
        <f aca="true" t="shared" si="14" ref="I40:I63">F40-D40</f>
        <v>-833.869999999999</v>
      </c>
      <c r="J40" s="205">
        <f>F40/D40*100</f>
        <v>96.66452000000001</v>
      </c>
      <c r="K40" s="205">
        <v>201.37</v>
      </c>
      <c r="L40" s="205">
        <f t="shared" si="1"/>
        <v>23964.760000000002</v>
      </c>
      <c r="M40" s="266"/>
      <c r="N40" s="204">
        <f>E40-серпень!E40</f>
        <v>2770</v>
      </c>
      <c r="O40" s="208">
        <f>F40-серпень!F40</f>
        <v>3605.9500000000007</v>
      </c>
      <c r="P40" s="207">
        <f aca="true" t="shared" si="15" ref="P40:P63">O40-N40</f>
        <v>835.9500000000007</v>
      </c>
      <c r="Q40" s="205">
        <f t="shared" si="12"/>
        <v>130.17870036101084</v>
      </c>
      <c r="R40" s="42"/>
      <c r="S40" s="100"/>
      <c r="T40" s="186">
        <f t="shared" si="8"/>
        <v>1763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E41-серпень!E41</f>
        <v>0</v>
      </c>
      <c r="O41" s="208">
        <f>F41-серпень!F41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E42-серпень!E42</f>
        <v>0</v>
      </c>
      <c r="O42" s="208">
        <f>F42-серпень!F42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90</v>
      </c>
      <c r="F43" s="196">
        <v>195.12</v>
      </c>
      <c r="G43" s="202">
        <f t="shared" si="13"/>
        <v>105.12</v>
      </c>
      <c r="H43" s="204">
        <f t="shared" si="11"/>
        <v>216.8</v>
      </c>
      <c r="I43" s="205">
        <f t="shared" si="14"/>
        <v>45.120000000000005</v>
      </c>
      <c r="J43" s="205">
        <f t="shared" si="16"/>
        <v>130.07999999999998</v>
      </c>
      <c r="K43" s="205">
        <v>104.06</v>
      </c>
      <c r="L43" s="205">
        <f t="shared" si="1"/>
        <v>91.06</v>
      </c>
      <c r="M43" s="266">
        <f t="shared" si="17"/>
        <v>1.8750720738035749</v>
      </c>
      <c r="N43" s="204">
        <f>E43-серпень!E43</f>
        <v>10</v>
      </c>
      <c r="O43" s="208">
        <f>F43-серпень!F43</f>
        <v>0</v>
      </c>
      <c r="P43" s="207">
        <f t="shared" si="15"/>
        <v>-10</v>
      </c>
      <c r="Q43" s="205">
        <f t="shared" si="12"/>
        <v>0</v>
      </c>
      <c r="R43" s="42"/>
      <c r="S43" s="100"/>
      <c r="T43" s="186">
        <f t="shared" si="8"/>
        <v>60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3.5</v>
      </c>
      <c r="L44" s="205">
        <f t="shared" si="1"/>
        <v>37.65</v>
      </c>
      <c r="M44" s="266">
        <f t="shared" si="17"/>
        <v>11.757142857142856</v>
      </c>
      <c r="N44" s="204">
        <f>E44-серпень!E44</f>
        <v>0</v>
      </c>
      <c r="O44" s="208">
        <f>F44-серпень!F44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264</v>
      </c>
      <c r="F45" s="196">
        <v>331.53</v>
      </c>
      <c r="G45" s="202">
        <f t="shared" si="13"/>
        <v>67.52999999999997</v>
      </c>
      <c r="H45" s="204">
        <f t="shared" si="11"/>
        <v>125.57954545454544</v>
      </c>
      <c r="I45" s="205">
        <f t="shared" si="14"/>
        <v>31.529999999999973</v>
      </c>
      <c r="J45" s="205">
        <f t="shared" si="16"/>
        <v>110.50999999999999</v>
      </c>
      <c r="K45" s="205">
        <v>0</v>
      </c>
      <c r="L45" s="205">
        <f t="shared" si="1"/>
        <v>331.53</v>
      </c>
      <c r="M45" s="266"/>
      <c r="N45" s="204">
        <f>E45-серпень!E45</f>
        <v>8</v>
      </c>
      <c r="O45" s="208">
        <f>F45-серпень!F45</f>
        <v>3.419999999999959</v>
      </c>
      <c r="P45" s="207">
        <f t="shared" si="15"/>
        <v>-4.580000000000041</v>
      </c>
      <c r="Q45" s="205">
        <f t="shared" si="12"/>
        <v>42.74999999999949</v>
      </c>
      <c r="R45" s="42"/>
      <c r="S45" s="100"/>
      <c r="T45" s="186">
        <f t="shared" si="8"/>
        <v>36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E46-серпень!E46</f>
        <v>0</v>
      </c>
      <c r="O46" s="208">
        <f>F46-серпень!F46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7849.02</v>
      </c>
      <c r="F47" s="196">
        <v>7089.27</v>
      </c>
      <c r="G47" s="202">
        <f t="shared" si="13"/>
        <v>-759.75</v>
      </c>
      <c r="H47" s="204">
        <f t="shared" si="11"/>
        <v>90.32044764824144</v>
      </c>
      <c r="I47" s="205">
        <f t="shared" si="14"/>
        <v>-2810.7299999999996</v>
      </c>
      <c r="J47" s="205">
        <f t="shared" si="16"/>
        <v>71.60878787878788</v>
      </c>
      <c r="K47" s="205">
        <v>6772.05</v>
      </c>
      <c r="L47" s="205">
        <f t="shared" si="1"/>
        <v>317.22000000000025</v>
      </c>
      <c r="M47" s="266">
        <f t="shared" si="17"/>
        <v>1.0468425366026537</v>
      </c>
      <c r="N47" s="204">
        <f>E47-серпень!E47</f>
        <v>800</v>
      </c>
      <c r="O47" s="208">
        <f>F47-серпень!F47</f>
        <v>26.63000000000011</v>
      </c>
      <c r="P47" s="207">
        <f t="shared" si="15"/>
        <v>-773.3699999999999</v>
      </c>
      <c r="Q47" s="205">
        <f t="shared" si="12"/>
        <v>3.3287500000000136</v>
      </c>
      <c r="R47" s="42"/>
      <c r="S47" s="100"/>
      <c r="T47" s="186">
        <f t="shared" si="8"/>
        <v>2050.9799999999996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170.14</v>
      </c>
      <c r="G48" s="202">
        <f t="shared" si="13"/>
        <v>-479.86</v>
      </c>
      <c r="H48" s="204">
        <f t="shared" si="11"/>
        <v>26.175384615384612</v>
      </c>
      <c r="I48" s="205">
        <f t="shared" si="14"/>
        <v>-479.86</v>
      </c>
      <c r="J48" s="205">
        <f t="shared" si="16"/>
        <v>26.175384615384612</v>
      </c>
      <c r="K48" s="205">
        <v>0</v>
      </c>
      <c r="L48" s="205">
        <f t="shared" si="1"/>
        <v>170.14</v>
      </c>
      <c r="M48" s="266"/>
      <c r="N48" s="204">
        <f>E48-серпень!E48</f>
        <v>0</v>
      </c>
      <c r="O48" s="208">
        <f>F48-серпень!F48</f>
        <v>1.8799999999999955</v>
      </c>
      <c r="P48" s="207">
        <f t="shared" si="15"/>
        <v>1.8799999999999955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32</v>
      </c>
      <c r="F49" s="196">
        <v>15.44</v>
      </c>
      <c r="G49" s="202">
        <f t="shared" si="13"/>
        <v>-16.560000000000002</v>
      </c>
      <c r="H49" s="204">
        <f t="shared" si="11"/>
        <v>48.25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E49-серпень!E49</f>
        <v>4</v>
      </c>
      <c r="O49" s="208">
        <f>F49-серпень!F49</f>
        <v>0</v>
      </c>
      <c r="P49" s="207">
        <f t="shared" si="15"/>
        <v>-4</v>
      </c>
      <c r="Q49" s="205">
        <f t="shared" si="12"/>
        <v>0</v>
      </c>
      <c r="R49" s="42"/>
      <c r="S49" s="100"/>
      <c r="T49" s="186">
        <f t="shared" si="8"/>
        <v>18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5916.23</v>
      </c>
      <c r="F50" s="196">
        <v>5068.19</v>
      </c>
      <c r="G50" s="202">
        <f t="shared" si="13"/>
        <v>-848.04</v>
      </c>
      <c r="H50" s="204">
        <f t="shared" si="11"/>
        <v>85.66587167841682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E50-серпень!E50</f>
        <v>650</v>
      </c>
      <c r="O50" s="208">
        <f>F50-серпень!F50</f>
        <v>0</v>
      </c>
      <c r="P50" s="207">
        <f t="shared" si="15"/>
        <v>-650</v>
      </c>
      <c r="Q50" s="205">
        <f t="shared" si="12"/>
        <v>0</v>
      </c>
      <c r="R50" s="42"/>
      <c r="S50" s="100"/>
      <c r="T50" s="186">
        <f t="shared" si="8"/>
        <v>2083.7700000000004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4911.19</v>
      </c>
      <c r="F51" s="196">
        <v>4368.77</v>
      </c>
      <c r="G51" s="202">
        <f t="shared" si="13"/>
        <v>-542.4199999999992</v>
      </c>
      <c r="H51" s="204">
        <f t="shared" si="11"/>
        <v>88.95542628161405</v>
      </c>
      <c r="I51" s="205">
        <f t="shared" si="14"/>
        <v>-2631.2699999999995</v>
      </c>
      <c r="J51" s="205">
        <f t="shared" si="16"/>
        <v>62.41064336775219</v>
      </c>
      <c r="K51" s="205">
        <v>5221.43</v>
      </c>
      <c r="L51" s="205">
        <f t="shared" si="1"/>
        <v>-852.6599999999999</v>
      </c>
      <c r="M51" s="266">
        <f t="shared" si="17"/>
        <v>0.8366999078796422</v>
      </c>
      <c r="N51" s="204">
        <f>E51-серпень!E51</f>
        <v>520</v>
      </c>
      <c r="O51" s="208">
        <f>F51-серпень!F51</f>
        <v>21.160000000000764</v>
      </c>
      <c r="P51" s="207">
        <f t="shared" si="15"/>
        <v>-498.83999999999924</v>
      </c>
      <c r="Q51" s="205">
        <f t="shared" si="12"/>
        <v>4.0692307692309155</v>
      </c>
      <c r="R51" s="42"/>
      <c r="S51" s="100"/>
      <c r="T51" s="186">
        <f t="shared" si="8"/>
        <v>2088.8500000000004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683.99</v>
      </c>
      <c r="F52" s="171">
        <v>570.9</v>
      </c>
      <c r="G52" s="36">
        <f t="shared" si="13"/>
        <v>-113.09000000000003</v>
      </c>
      <c r="H52" s="32">
        <f t="shared" si="11"/>
        <v>83.46613254579745</v>
      </c>
      <c r="I52" s="110">
        <f t="shared" si="14"/>
        <v>-399.1</v>
      </c>
      <c r="J52" s="110">
        <f t="shared" si="16"/>
        <v>58.855670103092784</v>
      </c>
      <c r="K52" s="110">
        <v>735.13</v>
      </c>
      <c r="L52" s="110">
        <f>F52-K52</f>
        <v>-164.23000000000002</v>
      </c>
      <c r="M52" s="115">
        <f t="shared" si="17"/>
        <v>0.7765973365255124</v>
      </c>
      <c r="N52" s="111">
        <f>E52-серпень!E52</f>
        <v>20</v>
      </c>
      <c r="O52" s="179">
        <f>F52-серпень!F52</f>
        <v>0.7699999999999818</v>
      </c>
      <c r="P52" s="112">
        <f t="shared" si="15"/>
        <v>-19.230000000000018</v>
      </c>
      <c r="Q52" s="132">
        <f t="shared" si="12"/>
        <v>3.849999999999909</v>
      </c>
      <c r="R52" s="42"/>
      <c r="S52" s="100"/>
      <c r="T52" s="186">
        <f t="shared" si="8"/>
        <v>286.01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E53-серпень!E53</f>
        <v>0</v>
      </c>
      <c r="O53" s="179">
        <f>F53-серпень!F53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E54-серпень!E54</f>
        <v>0</v>
      </c>
      <c r="O54" s="179">
        <f>F54-серпень!F54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4222.17</v>
      </c>
      <c r="F55" s="171">
        <v>3797.57</v>
      </c>
      <c r="G55" s="36">
        <f t="shared" si="13"/>
        <v>-424.5999999999999</v>
      </c>
      <c r="H55" s="32">
        <f t="shared" si="11"/>
        <v>89.94355982823998</v>
      </c>
      <c r="I55" s="110">
        <f t="shared" si="14"/>
        <v>-2226.43</v>
      </c>
      <c r="J55" s="110">
        <f t="shared" si="16"/>
        <v>63.04067065073041</v>
      </c>
      <c r="K55" s="110">
        <v>4440.11</v>
      </c>
      <c r="L55" s="110">
        <f>F55-K55</f>
        <v>-642.5399999999995</v>
      </c>
      <c r="M55" s="115">
        <f t="shared" si="17"/>
        <v>0.8552873690066238</v>
      </c>
      <c r="N55" s="111">
        <f>E55-серпень!E55</f>
        <v>500</v>
      </c>
      <c r="O55" s="179">
        <f>F55-серпень!F55</f>
        <v>20.38000000000011</v>
      </c>
      <c r="P55" s="112">
        <f t="shared" si="15"/>
        <v>-479.6199999999999</v>
      </c>
      <c r="Q55" s="132">
        <f t="shared" si="12"/>
        <v>4.076000000000022</v>
      </c>
      <c r="R55" s="42"/>
      <c r="S55" s="100"/>
      <c r="T55" s="186">
        <f t="shared" si="8"/>
        <v>1801.83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E56-серпень!E56</f>
        <v>0</v>
      </c>
      <c r="O56" s="208">
        <f>F56-серпень!F56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4637.98</v>
      </c>
      <c r="F57" s="196">
        <v>4605.8</v>
      </c>
      <c r="G57" s="202">
        <f t="shared" si="13"/>
        <v>-32.17999999999938</v>
      </c>
      <c r="H57" s="204">
        <f t="shared" si="11"/>
        <v>99.30616345909212</v>
      </c>
      <c r="I57" s="205">
        <f t="shared" si="14"/>
        <v>-544.1999999999998</v>
      </c>
      <c r="J57" s="205">
        <f t="shared" si="16"/>
        <v>89.43300970873787</v>
      </c>
      <c r="K57" s="205">
        <v>3192.65</v>
      </c>
      <c r="L57" s="205">
        <f aca="true" t="shared" si="18" ref="L57:L63">F57-K57</f>
        <v>1413.15</v>
      </c>
      <c r="M57" s="266">
        <f t="shared" si="17"/>
        <v>1.442626031666484</v>
      </c>
      <c r="N57" s="204">
        <f>E57-серпень!E57</f>
        <v>370</v>
      </c>
      <c r="O57" s="208">
        <f>F57-серпень!F57</f>
        <v>3.9700000000002547</v>
      </c>
      <c r="P57" s="207">
        <f t="shared" si="15"/>
        <v>-366.02999999999975</v>
      </c>
      <c r="Q57" s="205">
        <f t="shared" si="12"/>
        <v>1.072972972973042</v>
      </c>
      <c r="R57" s="42"/>
      <c r="S57" s="100"/>
      <c r="T57" s="186">
        <f t="shared" si="8"/>
        <v>512.0200000000004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E58-серпень!E58</f>
        <v>0</v>
      </c>
      <c r="O58" s="208">
        <f>F58-серпень!F58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870.4</v>
      </c>
      <c r="G59" s="202"/>
      <c r="H59" s="204"/>
      <c r="I59" s="205"/>
      <c r="J59" s="205"/>
      <c r="K59" s="206">
        <v>890.52</v>
      </c>
      <c r="L59" s="205">
        <f t="shared" si="18"/>
        <v>-20.120000000000005</v>
      </c>
      <c r="M59" s="266">
        <f t="shared" si="17"/>
        <v>0.9774064591474644</v>
      </c>
      <c r="N59" s="204">
        <f>E59-серпень!E59</f>
        <v>0</v>
      </c>
      <c r="O59" s="208">
        <f>F59-серпень!F59</f>
        <v>10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E60-серпень!E60</f>
        <v>0</v>
      </c>
      <c r="O60" s="208">
        <f>F60-серпень!F60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152.27</v>
      </c>
      <c r="G61" s="202">
        <f t="shared" si="13"/>
        <v>52.27000000000001</v>
      </c>
      <c r="H61" s="204">
        <f t="shared" si="11"/>
        <v>152.27</v>
      </c>
      <c r="I61" s="205">
        <f t="shared" si="14"/>
        <v>52.27000000000001</v>
      </c>
      <c r="J61" s="205">
        <f t="shared" si="16"/>
        <v>152.27</v>
      </c>
      <c r="K61" s="205">
        <v>0.6</v>
      </c>
      <c r="L61" s="205">
        <f t="shared" si="18"/>
        <v>151.67000000000002</v>
      </c>
      <c r="M61" s="266">
        <f t="shared" si="17"/>
        <v>253.78333333333336</v>
      </c>
      <c r="N61" s="204">
        <f>E61-серпень!E61</f>
        <v>0</v>
      </c>
      <c r="O61" s="208">
        <f>F61-серпень!F61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19.1</v>
      </c>
      <c r="F62" s="196">
        <v>13.52</v>
      </c>
      <c r="G62" s="202">
        <f t="shared" si="13"/>
        <v>-5.580000000000002</v>
      </c>
      <c r="H62" s="204">
        <f t="shared" si="11"/>
        <v>70.7853403141361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E62-серпень!E62</f>
        <v>2.3000000000000007</v>
      </c>
      <c r="O62" s="208">
        <f>F62-серпень!F62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10.899999999999999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E63-серпень!E63</f>
        <v>0</v>
      </c>
      <c r="O63" s="208">
        <f>F63-серпень!F63</f>
        <v>-0.010000000000000009</v>
      </c>
      <c r="P63" s="207">
        <f t="shared" si="15"/>
        <v>-0.010000000000000009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748566.14</v>
      </c>
      <c r="F64" s="191">
        <f>F8+F38+F62+F63</f>
        <v>681321.4800000001</v>
      </c>
      <c r="G64" s="191">
        <f>F64-E64</f>
        <v>-67244.65999999992</v>
      </c>
      <c r="H64" s="192">
        <f>F64/E64*100</f>
        <v>91.01687126804855</v>
      </c>
      <c r="I64" s="193">
        <f>F64-D64</f>
        <v>-309616.25</v>
      </c>
      <c r="J64" s="193">
        <f>F64/D64*100</f>
        <v>68.75522642578157</v>
      </c>
      <c r="K64" s="193">
        <v>451134.19</v>
      </c>
      <c r="L64" s="193">
        <f>F64-K64</f>
        <v>230187.2900000001</v>
      </c>
      <c r="M64" s="267">
        <f>F64/K64</f>
        <v>1.5102412876310707</v>
      </c>
      <c r="N64" s="191">
        <f>N8+N38+N62+N63</f>
        <v>76130.13</v>
      </c>
      <c r="O64" s="191">
        <f>O8+O38+O62+O63</f>
        <v>4797.830000000011</v>
      </c>
      <c r="P64" s="195">
        <f>O64-N64</f>
        <v>-71332.29999999999</v>
      </c>
      <c r="Q64" s="193">
        <f>O64/N64*100</f>
        <v>6.302143448329867</v>
      </c>
      <c r="R64" s="28">
        <f>O64-34768</f>
        <v>-29970.16999999999</v>
      </c>
      <c r="S64" s="128">
        <f>O64/34768</f>
        <v>0.13799557063966897</v>
      </c>
      <c r="T64" s="186">
        <f t="shared" si="8"/>
        <v>242371.59000000008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F69-серпень!F69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</v>
      </c>
      <c r="G70" s="202">
        <f>F70-E70</f>
        <v>-3.8</v>
      </c>
      <c r="H70" s="204"/>
      <c r="I70" s="207">
        <f>F70-D70</f>
        <v>-3.8</v>
      </c>
      <c r="J70" s="207"/>
      <c r="K70" s="207">
        <v>-49.19</v>
      </c>
      <c r="L70" s="207">
        <f>F70-K70</f>
        <v>45.39</v>
      </c>
      <c r="M70" s="254">
        <f>F70/K70</f>
        <v>0.07725147387680423</v>
      </c>
      <c r="N70" s="204"/>
      <c r="O70" s="223">
        <f>F70-серпень!F70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-3.79</v>
      </c>
      <c r="G71" s="226">
        <f>F71-E71</f>
        <v>-3.79</v>
      </c>
      <c r="H71" s="227"/>
      <c r="I71" s="228">
        <f>F71-D71</f>
        <v>-3.79</v>
      </c>
      <c r="J71" s="228"/>
      <c r="K71" s="228">
        <v>-49.19</v>
      </c>
      <c r="L71" s="228">
        <f>F71-K71</f>
        <v>45.4</v>
      </c>
      <c r="M71" s="260">
        <f>F71/K71</f>
        <v>0.07704818052449686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1535.17</v>
      </c>
      <c r="G73" s="202">
        <f aca="true" t="shared" si="19" ref="G73:G83">F73-E73</f>
        <v>-1164.83</v>
      </c>
      <c r="H73" s="204"/>
      <c r="I73" s="207">
        <f aca="true" t="shared" si="20" ref="I73:I83">F73-D73</f>
        <v>-2664.83</v>
      </c>
      <c r="J73" s="207">
        <f>F73/D73*100</f>
        <v>36.55166666666666</v>
      </c>
      <c r="K73" s="207">
        <v>593.02</v>
      </c>
      <c r="L73" s="207">
        <f aca="true" t="shared" si="21" ref="L73:L83">F73-K73</f>
        <v>942.1500000000001</v>
      </c>
      <c r="M73" s="254">
        <f>F73/K73</f>
        <v>2.5887322518633438</v>
      </c>
      <c r="N73" s="204">
        <f>E73-серпень!E73</f>
        <v>500</v>
      </c>
      <c r="O73" s="208">
        <f>F73-серпень!F73</f>
        <v>-0.029999999999972715</v>
      </c>
      <c r="P73" s="207">
        <f aca="true" t="shared" si="22" ref="P73:P86">O73-N73</f>
        <v>-500.03</v>
      </c>
      <c r="Q73" s="207">
        <f>O73/N73*100</f>
        <v>-0.0059999999999945436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4692.21</v>
      </c>
      <c r="F74" s="222">
        <v>6783.53</v>
      </c>
      <c r="G74" s="202">
        <f t="shared" si="19"/>
        <v>2091.3199999999997</v>
      </c>
      <c r="H74" s="204">
        <f>F74/E74*100</f>
        <v>144.570042687774</v>
      </c>
      <c r="I74" s="207">
        <f t="shared" si="20"/>
        <v>-675.4700000000003</v>
      </c>
      <c r="J74" s="207">
        <f>F74/D74*100</f>
        <v>90.94422844885372</v>
      </c>
      <c r="K74" s="207">
        <v>3758.64</v>
      </c>
      <c r="L74" s="207">
        <f t="shared" si="21"/>
        <v>3024.89</v>
      </c>
      <c r="M74" s="254">
        <f>F74/K74</f>
        <v>1.8047831130408871</v>
      </c>
      <c r="N74" s="204">
        <f>E74-серпень!E74</f>
        <v>815</v>
      </c>
      <c r="O74" s="208">
        <f>F74-серпень!F74</f>
        <v>0</v>
      </c>
      <c r="P74" s="207">
        <f t="shared" si="22"/>
        <v>-815</v>
      </c>
      <c r="Q74" s="207">
        <f>O74/N74*100</f>
        <v>0</v>
      </c>
      <c r="R74" s="43"/>
      <c r="S74" s="103"/>
      <c r="T74" s="186">
        <f aca="true" t="shared" si="23" ref="T74:T90">D74-E74</f>
        <v>2766.79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2698.85</v>
      </c>
      <c r="F75" s="222">
        <v>10477.14</v>
      </c>
      <c r="G75" s="202">
        <f t="shared" si="19"/>
        <v>7778.289999999999</v>
      </c>
      <c r="H75" s="204">
        <f>F75/E75*100</f>
        <v>388.2075698908794</v>
      </c>
      <c r="I75" s="207">
        <f t="shared" si="20"/>
        <v>4477.139999999999</v>
      </c>
      <c r="J75" s="207">
        <f>F75/D75*100</f>
        <v>174.619</v>
      </c>
      <c r="K75" s="207">
        <v>1838.64</v>
      </c>
      <c r="L75" s="207">
        <f t="shared" si="21"/>
        <v>8638.5</v>
      </c>
      <c r="M75" s="254">
        <f>F75/K75</f>
        <v>5.698309620154026</v>
      </c>
      <c r="N75" s="204">
        <f>E75-серпень!E75</f>
        <v>302</v>
      </c>
      <c r="O75" s="208">
        <f>F75-серпень!F75</f>
        <v>0.039999999999054126</v>
      </c>
      <c r="P75" s="207">
        <f t="shared" si="22"/>
        <v>-301.96000000000095</v>
      </c>
      <c r="Q75" s="207">
        <f>O75/N75*100</f>
        <v>0.013245033112269577</v>
      </c>
      <c r="R75" s="43"/>
      <c r="S75" s="103"/>
      <c r="T75" s="186">
        <f t="shared" si="23"/>
        <v>3301.15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9</v>
      </c>
      <c r="F76" s="222">
        <v>6</v>
      </c>
      <c r="G76" s="202">
        <f t="shared" si="19"/>
        <v>-3</v>
      </c>
      <c r="H76" s="204">
        <f>F76/E76*100</f>
        <v>66.66666666666666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E76-серпень!E76</f>
        <v>1</v>
      </c>
      <c r="O76" s="208">
        <f>F76-серпень!F76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3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10100.06</v>
      </c>
      <c r="F77" s="225">
        <f>F73+F74+F75+F76</f>
        <v>18801.84</v>
      </c>
      <c r="G77" s="226">
        <f t="shared" si="19"/>
        <v>8701.78</v>
      </c>
      <c r="H77" s="227">
        <f>F77/E77*100</f>
        <v>186.15572580756947</v>
      </c>
      <c r="I77" s="228">
        <f t="shared" si="20"/>
        <v>1130.8400000000001</v>
      </c>
      <c r="J77" s="228">
        <f>F77/D77*100</f>
        <v>106.39941146511234</v>
      </c>
      <c r="K77" s="228">
        <v>5991.37</v>
      </c>
      <c r="L77" s="228">
        <f t="shared" si="21"/>
        <v>12810.470000000001</v>
      </c>
      <c r="M77" s="260">
        <f>F77/K77</f>
        <v>3.1381537110877815</v>
      </c>
      <c r="N77" s="226">
        <f>N73+N74+N75+N76</f>
        <v>1618</v>
      </c>
      <c r="O77" s="230">
        <f>O73+O74+O75+O76</f>
        <v>0.00999999999908141</v>
      </c>
      <c r="P77" s="228">
        <f t="shared" si="22"/>
        <v>-1617.990000000001</v>
      </c>
      <c r="Q77" s="228">
        <f>O77/N77*100</f>
        <v>0.0006180469715130662</v>
      </c>
      <c r="R77" s="44"/>
      <c r="S77" s="129"/>
      <c r="T77" s="186">
        <f t="shared" si="23"/>
        <v>7570.9400000000005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E78-серпень!E78</f>
        <v>0</v>
      </c>
      <c r="O78" s="208">
        <f>F78-серпень!F78</f>
        <v>0</v>
      </c>
      <c r="P78" s="207">
        <f t="shared" si="22"/>
        <v>0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f>F79-0</f>
        <v>0</v>
      </c>
      <c r="L79" s="207">
        <f t="shared" si="21"/>
        <v>0</v>
      </c>
      <c r="M79" s="254" t="e">
        <f>F79/K79</f>
        <v>#DIV/0!</v>
      </c>
      <c r="N79" s="204">
        <f>E79-серпень!E79</f>
        <v>0</v>
      </c>
      <c r="O79" s="208">
        <f>F79-серпень!F79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7624</v>
      </c>
      <c r="F80" s="222">
        <v>6824.83</v>
      </c>
      <c r="G80" s="202">
        <f t="shared" si="19"/>
        <v>-799.1700000000001</v>
      </c>
      <c r="H80" s="204">
        <f>F80/E80*100</f>
        <v>89.5177072402938</v>
      </c>
      <c r="I80" s="207">
        <f t="shared" si="20"/>
        <v>-2675.17</v>
      </c>
      <c r="J80" s="207">
        <f>F80/D80*100</f>
        <v>71.84031578947369</v>
      </c>
      <c r="K80" s="207">
        <v>0</v>
      </c>
      <c r="L80" s="207">
        <f t="shared" si="21"/>
        <v>6824.83</v>
      </c>
      <c r="M80" s="254"/>
      <c r="N80" s="204">
        <f>E80-серпень!E80</f>
        <v>0.3999999999996362</v>
      </c>
      <c r="O80" s="208">
        <f>F80-серпень!F80</f>
        <v>0</v>
      </c>
      <c r="P80" s="207">
        <f>O80-N80</f>
        <v>-0.3999999999996362</v>
      </c>
      <c r="Q80" s="231">
        <f>O80/N80*100</f>
        <v>0</v>
      </c>
      <c r="R80" s="46"/>
      <c r="S80" s="105"/>
      <c r="T80" s="186">
        <f t="shared" si="23"/>
        <v>1876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0.88</v>
      </c>
      <c r="L81" s="207">
        <f t="shared" si="21"/>
        <v>0.21000000000000008</v>
      </c>
      <c r="M81" s="254">
        <f>F81/K81</f>
        <v>1.2386363636363638</v>
      </c>
      <c r="N81" s="204">
        <f>E81-серпень!E81</f>
        <v>0</v>
      </c>
      <c r="O81" s="208">
        <f>F81-серпень!F81</f>
        <v>0.17000000000000004</v>
      </c>
      <c r="P81" s="207">
        <f t="shared" si="22"/>
        <v>0.17000000000000004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7624</v>
      </c>
      <c r="F82" s="225">
        <f>F78+F81+F79+F80</f>
        <v>6831.59</v>
      </c>
      <c r="G82" s="224">
        <f>G78+G81+G79+G80</f>
        <v>-792.4100000000001</v>
      </c>
      <c r="H82" s="227">
        <f>F82/E82*100</f>
        <v>89.60637460650578</v>
      </c>
      <c r="I82" s="228">
        <f t="shared" si="20"/>
        <v>-2669.41</v>
      </c>
      <c r="J82" s="228">
        <f>F82/D82*100</f>
        <v>71.90390485212083</v>
      </c>
      <c r="K82" s="228">
        <v>0.83</v>
      </c>
      <c r="L82" s="228">
        <f t="shared" si="21"/>
        <v>6830.76</v>
      </c>
      <c r="M82" s="268">
        <f>F82/K82</f>
        <v>8230.831325301206</v>
      </c>
      <c r="N82" s="226">
        <f>N78+N81+N79+N80</f>
        <v>0.3999999999996362</v>
      </c>
      <c r="O82" s="230">
        <f>O78+O81+O79+O80</f>
        <v>0.17000000000000004</v>
      </c>
      <c r="P82" s="226">
        <f>P78+P81+P79+P80</f>
        <v>-0.22999999999963616</v>
      </c>
      <c r="Q82" s="228">
        <f>O82/N82*100</f>
        <v>42.50000000003866</v>
      </c>
      <c r="R82" s="44"/>
      <c r="S82" s="102"/>
      <c r="T82" s="186">
        <f t="shared" si="23"/>
        <v>1877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28.97</v>
      </c>
      <c r="F83" s="222">
        <v>19.38</v>
      </c>
      <c r="G83" s="202">
        <f t="shared" si="19"/>
        <v>-9.59</v>
      </c>
      <c r="H83" s="204">
        <f>F83/E83*100</f>
        <v>66.89678978253365</v>
      </c>
      <c r="I83" s="207">
        <f t="shared" si="20"/>
        <v>-23.62</v>
      </c>
      <c r="J83" s="207">
        <f>F83/D83*100</f>
        <v>45.06976744186046</v>
      </c>
      <c r="K83" s="207">
        <v>21.06</v>
      </c>
      <c r="L83" s="207">
        <f t="shared" si="21"/>
        <v>-1.6799999999999997</v>
      </c>
      <c r="M83" s="254">
        <f>F83/K83</f>
        <v>0.9202279202279202</v>
      </c>
      <c r="N83" s="204">
        <f>E83-серпень!E83</f>
        <v>8.169999999999998</v>
      </c>
      <c r="O83" s="208">
        <f>F83-серпень!F83</f>
        <v>-0.019999999999999574</v>
      </c>
      <c r="P83" s="207">
        <f t="shared" si="22"/>
        <v>-8.189999999999998</v>
      </c>
      <c r="Q83" s="207">
        <f>O83/N83</f>
        <v>-0.002447980416156619</v>
      </c>
      <c r="R83" s="43"/>
      <c r="S83" s="103"/>
      <c r="T83" s="186">
        <f t="shared" si="23"/>
        <v>14.030000000000001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17753.03</v>
      </c>
      <c r="F85" s="232">
        <f>F71+F83+F77+F82+F84</f>
        <v>25649.02</v>
      </c>
      <c r="G85" s="233">
        <f>F85-E85</f>
        <v>7895.990000000002</v>
      </c>
      <c r="H85" s="234">
        <f>F85/E85*100</f>
        <v>144.47685831658032</v>
      </c>
      <c r="I85" s="235">
        <f>F85-D85</f>
        <v>-1565.9799999999996</v>
      </c>
      <c r="J85" s="235">
        <f>F85/D85*100</f>
        <v>94.24589380856145</v>
      </c>
      <c r="K85" s="235">
        <v>6163.42</v>
      </c>
      <c r="L85" s="235">
        <f>F85-K85</f>
        <v>19485.6</v>
      </c>
      <c r="M85" s="269">
        <f>F85/K85</f>
        <v>4.161491509583965</v>
      </c>
      <c r="N85" s="232">
        <f>N71+N83+N77+N82</f>
        <v>1626.5699999999997</v>
      </c>
      <c r="O85" s="232">
        <f>O71+O83+O77+O82+O84</f>
        <v>0.15999999999908188</v>
      </c>
      <c r="P85" s="235">
        <f t="shared" si="22"/>
        <v>-1626.4100000000005</v>
      </c>
      <c r="Q85" s="235">
        <f>O85/N85*100</f>
        <v>0.009836650128742195</v>
      </c>
      <c r="R85" s="28">
        <f>O85-8104.96</f>
        <v>-8104.800000000001</v>
      </c>
      <c r="S85" s="101">
        <f>O85/8104.96</f>
        <v>1.9740998104750902E-05</v>
      </c>
      <c r="T85" s="186">
        <f t="shared" si="23"/>
        <v>9461.970000000001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766319.17</v>
      </c>
      <c r="F86" s="232">
        <f>F64+F85</f>
        <v>706970.5000000001</v>
      </c>
      <c r="G86" s="233">
        <f>F86-E86</f>
        <v>-59348.669999999925</v>
      </c>
      <c r="H86" s="234">
        <f>F86/E86*100</f>
        <v>92.25535882131203</v>
      </c>
      <c r="I86" s="235">
        <f>F86-D86</f>
        <v>-311182.23</v>
      </c>
      <c r="J86" s="235">
        <f>F86/D86*100</f>
        <v>69.436586395049</v>
      </c>
      <c r="K86" s="235">
        <f>K64+K85</f>
        <v>457297.61</v>
      </c>
      <c r="L86" s="235">
        <f>F86-K86</f>
        <v>249672.89000000013</v>
      </c>
      <c r="M86" s="269">
        <f>F86/K86</f>
        <v>1.5459746225220816</v>
      </c>
      <c r="N86" s="233">
        <f>N64+N85</f>
        <v>77756.70000000001</v>
      </c>
      <c r="O86" s="233">
        <f>O64+O85</f>
        <v>4797.99000000001</v>
      </c>
      <c r="P86" s="235">
        <f t="shared" si="22"/>
        <v>-72958.71</v>
      </c>
      <c r="Q86" s="235">
        <f>O86/N86*100</f>
        <v>6.170516495684628</v>
      </c>
      <c r="R86" s="28">
        <f>O86-42872.96</f>
        <v>-38074.96999999999</v>
      </c>
      <c r="S86" s="101">
        <f>O86/42872.96</f>
        <v>0.11191179708608899</v>
      </c>
      <c r="T86" s="186">
        <f t="shared" si="23"/>
        <v>251833.56000000006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28"/>
      <c r="H89" s="428"/>
      <c r="I89" s="428"/>
      <c r="J89" s="428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42614</v>
      </c>
      <c r="D90" s="31">
        <v>4797.8</v>
      </c>
      <c r="G90" s="4" t="s">
        <v>59</v>
      </c>
      <c r="O90" s="420"/>
      <c r="P90" s="420"/>
      <c r="T90" s="186">
        <f t="shared" si="23"/>
        <v>4797.8</v>
      </c>
    </row>
    <row r="91" spans="3:16" ht="15">
      <c r="C91" s="87">
        <v>42613</v>
      </c>
      <c r="D91" s="31">
        <v>3902.6</v>
      </c>
      <c r="F91" s="124" t="s">
        <v>59</v>
      </c>
      <c r="G91" s="414"/>
      <c r="H91" s="414"/>
      <c r="I91" s="131"/>
      <c r="J91" s="417"/>
      <c r="K91" s="417"/>
      <c r="L91" s="417"/>
      <c r="M91" s="417"/>
      <c r="N91" s="417"/>
      <c r="O91" s="420"/>
      <c r="P91" s="420"/>
    </row>
    <row r="92" spans="3:16" ht="15.75" customHeight="1">
      <c r="C92" s="87">
        <v>42612</v>
      </c>
      <c r="D92" s="31">
        <v>10466.3</v>
      </c>
      <c r="F92" s="73"/>
      <c r="G92" s="414"/>
      <c r="H92" s="414"/>
      <c r="I92" s="131"/>
      <c r="J92" s="421"/>
      <c r="K92" s="421"/>
      <c r="L92" s="421"/>
      <c r="M92" s="421"/>
      <c r="N92" s="421"/>
      <c r="O92" s="420"/>
      <c r="P92" s="420"/>
    </row>
    <row r="93" spans="3:14" ht="15.75" customHeight="1">
      <c r="C93" s="87"/>
      <c r="F93" s="73"/>
      <c r="G93" s="416"/>
      <c r="H93" s="416"/>
      <c r="I93" s="139"/>
      <c r="J93" s="417"/>
      <c r="K93" s="417"/>
      <c r="L93" s="417"/>
      <c r="M93" s="417"/>
      <c r="N93" s="417"/>
    </row>
    <row r="94" spans="2:14" ht="18.75" customHeight="1">
      <c r="B94" s="418" t="s">
        <v>57</v>
      </c>
      <c r="C94" s="419"/>
      <c r="D94" s="148">
        <f>'[1]залишки  (2)'!$G$6/1000</f>
        <v>969.84131</v>
      </c>
      <c r="E94" s="74"/>
      <c r="F94" s="140" t="s">
        <v>137</v>
      </c>
      <c r="G94" s="414"/>
      <c r="H94" s="414"/>
      <c r="I94" s="141"/>
      <c r="J94" s="417"/>
      <c r="K94" s="417"/>
      <c r="L94" s="417"/>
      <c r="M94" s="417"/>
      <c r="N94" s="417"/>
    </row>
    <row r="95" spans="6:13" ht="9.75" customHeight="1">
      <c r="F95" s="73"/>
      <c r="G95" s="414"/>
      <c r="H95" s="414"/>
      <c r="I95" s="73"/>
      <c r="J95" s="74"/>
      <c r="K95" s="74"/>
      <c r="L95" s="74"/>
      <c r="M95" s="74"/>
    </row>
    <row r="96" spans="2:13" ht="22.5" customHeight="1" hidden="1">
      <c r="B96" s="412" t="s">
        <v>60</v>
      </c>
      <c r="C96" s="413"/>
      <c r="D96" s="86">
        <v>0</v>
      </c>
      <c r="E96" s="56" t="s">
        <v>24</v>
      </c>
      <c r="F96" s="73"/>
      <c r="G96" s="414"/>
      <c r="H96" s="414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946</v>
      </c>
      <c r="F97" s="247">
        <f>F45+F48+F49</f>
        <v>517.11</v>
      </c>
      <c r="G97" s="73">
        <f>G45+G48+G49</f>
        <v>-428.89000000000004</v>
      </c>
      <c r="H97" s="74"/>
      <c r="I97" s="74"/>
      <c r="N97" s="31">
        <f>N45+N48+N49</f>
        <v>12</v>
      </c>
      <c r="O97" s="246">
        <f>O45+O48+O49</f>
        <v>5.2999999999999545</v>
      </c>
      <c r="P97" s="31">
        <f>P45+P48+P49</f>
        <v>-6.7000000000000455</v>
      </c>
    </row>
    <row r="98" spans="4:16" ht="15">
      <c r="D98" s="83"/>
      <c r="I98" s="31"/>
      <c r="O98" s="415"/>
      <c r="P98" s="415"/>
    </row>
    <row r="99" spans="15:16" ht="15">
      <c r="O99" s="414"/>
      <c r="P99" s="414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" bottom="0" header="0" footer="0"/>
  <pageSetup fitToHeight="2" fitToWidth="1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5" t="s">
        <v>114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92"/>
      <c r="R1" s="93"/>
    </row>
    <row r="2" spans="2:18" s="1" customFormat="1" ht="15.75" customHeight="1">
      <c r="B2" s="452"/>
      <c r="C2" s="452"/>
      <c r="D2" s="452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37"/>
      <c r="B3" s="439" t="s">
        <v>136</v>
      </c>
      <c r="C3" s="440" t="s">
        <v>0</v>
      </c>
      <c r="D3" s="441" t="s">
        <v>115</v>
      </c>
      <c r="E3" s="34"/>
      <c r="F3" s="442" t="s">
        <v>26</v>
      </c>
      <c r="G3" s="443"/>
      <c r="H3" s="443"/>
      <c r="I3" s="443"/>
      <c r="J3" s="444"/>
      <c r="K3" s="89"/>
      <c r="L3" s="89"/>
      <c r="M3" s="455" t="s">
        <v>107</v>
      </c>
      <c r="N3" s="446" t="s">
        <v>66</v>
      </c>
      <c r="O3" s="446"/>
      <c r="P3" s="446"/>
      <c r="Q3" s="446"/>
      <c r="R3" s="446"/>
    </row>
    <row r="4" spans="1:18" ht="22.5" customHeight="1">
      <c r="A4" s="437"/>
      <c r="B4" s="439"/>
      <c r="C4" s="440"/>
      <c r="D4" s="441"/>
      <c r="E4" s="447" t="s">
        <v>104</v>
      </c>
      <c r="F4" s="458" t="s">
        <v>34</v>
      </c>
      <c r="G4" s="422" t="s">
        <v>109</v>
      </c>
      <c r="H4" s="431" t="s">
        <v>110</v>
      </c>
      <c r="I4" s="422" t="s">
        <v>105</v>
      </c>
      <c r="J4" s="431" t="s">
        <v>106</v>
      </c>
      <c r="K4" s="91" t="s">
        <v>65</v>
      </c>
      <c r="L4" s="96" t="s">
        <v>64</v>
      </c>
      <c r="M4" s="431"/>
      <c r="N4" s="456" t="s">
        <v>103</v>
      </c>
      <c r="O4" s="422" t="s">
        <v>50</v>
      </c>
      <c r="P4" s="424" t="s">
        <v>49</v>
      </c>
      <c r="Q4" s="97" t="s">
        <v>65</v>
      </c>
      <c r="R4" s="98" t="s">
        <v>64</v>
      </c>
    </row>
    <row r="5" spans="1:18" ht="76.5" customHeight="1">
      <c r="A5" s="438"/>
      <c r="B5" s="439"/>
      <c r="C5" s="440"/>
      <c r="D5" s="441"/>
      <c r="E5" s="448"/>
      <c r="F5" s="459"/>
      <c r="G5" s="423"/>
      <c r="H5" s="432"/>
      <c r="I5" s="423"/>
      <c r="J5" s="432"/>
      <c r="K5" s="425" t="s">
        <v>108</v>
      </c>
      <c r="L5" s="427"/>
      <c r="M5" s="432"/>
      <c r="N5" s="457"/>
      <c r="O5" s="423"/>
      <c r="P5" s="424"/>
      <c r="Q5" s="425" t="s">
        <v>126</v>
      </c>
      <c r="R5" s="42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28"/>
      <c r="H82" s="428"/>
      <c r="I82" s="428"/>
      <c r="J82" s="428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20"/>
      <c r="O83" s="420"/>
    </row>
    <row r="84" spans="3:15" ht="15">
      <c r="C84" s="87">
        <v>42397</v>
      </c>
      <c r="D84" s="31">
        <v>8685</v>
      </c>
      <c r="F84" s="166" t="s">
        <v>59</v>
      </c>
      <c r="G84" s="414"/>
      <c r="H84" s="414"/>
      <c r="I84" s="131"/>
      <c r="J84" s="417"/>
      <c r="K84" s="417"/>
      <c r="L84" s="417"/>
      <c r="M84" s="417"/>
      <c r="N84" s="420"/>
      <c r="O84" s="420"/>
    </row>
    <row r="85" spans="3:15" ht="15.75" customHeight="1">
      <c r="C85" s="87">
        <v>42396</v>
      </c>
      <c r="D85" s="31">
        <v>4820.3</v>
      </c>
      <c r="F85" s="167"/>
      <c r="G85" s="414"/>
      <c r="H85" s="414"/>
      <c r="I85" s="131"/>
      <c r="J85" s="421"/>
      <c r="K85" s="421"/>
      <c r="L85" s="421"/>
      <c r="M85" s="421"/>
      <c r="N85" s="420"/>
      <c r="O85" s="420"/>
    </row>
    <row r="86" spans="3:13" ht="15.75" customHeight="1">
      <c r="C86" s="87"/>
      <c r="F86" s="167"/>
      <c r="G86" s="416"/>
      <c r="H86" s="416"/>
      <c r="I86" s="139"/>
      <c r="J86" s="417"/>
      <c r="K86" s="417"/>
      <c r="L86" s="417"/>
      <c r="M86" s="417"/>
    </row>
    <row r="87" spans="2:13" ht="18.75" customHeight="1">
      <c r="B87" s="418" t="s">
        <v>57</v>
      </c>
      <c r="C87" s="419"/>
      <c r="D87" s="148">
        <v>300.92</v>
      </c>
      <c r="E87" s="74"/>
      <c r="F87" s="168"/>
      <c r="G87" s="414"/>
      <c r="H87" s="414"/>
      <c r="I87" s="141"/>
      <c r="J87" s="417"/>
      <c r="K87" s="417"/>
      <c r="L87" s="417"/>
      <c r="M87" s="417"/>
    </row>
    <row r="88" spans="6:12" ht="9.75" customHeight="1">
      <c r="F88" s="167"/>
      <c r="G88" s="414"/>
      <c r="H88" s="414"/>
      <c r="I88" s="73"/>
      <c r="J88" s="74"/>
      <c r="K88" s="74"/>
      <c r="L88" s="74"/>
    </row>
    <row r="89" spans="2:12" ht="22.5" customHeight="1" hidden="1">
      <c r="B89" s="412" t="s">
        <v>60</v>
      </c>
      <c r="C89" s="413"/>
      <c r="D89" s="86">
        <v>0</v>
      </c>
      <c r="E89" s="56" t="s">
        <v>24</v>
      </c>
      <c r="F89" s="167"/>
      <c r="G89" s="414"/>
      <c r="H89" s="414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14"/>
      <c r="O90" s="414"/>
    </row>
    <row r="91" spans="4:15" ht="15">
      <c r="D91" s="83"/>
      <c r="I91" s="31"/>
      <c r="N91" s="415"/>
      <c r="O91" s="415"/>
    </row>
    <row r="92" spans="14:15" ht="15">
      <c r="N92" s="414"/>
      <c r="O92" s="414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9" zoomScaleNormal="79" zoomScalePageLayoutView="0" workbookViewId="0" topLeftCell="B18">
      <selection activeCell="O37" sqref="O3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5" t="s">
        <v>196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92"/>
      <c r="S1" s="93"/>
    </row>
    <row r="2" spans="2:19" s="1" customFormat="1" ht="15.75" customHeight="1">
      <c r="B2" s="436"/>
      <c r="C2" s="436"/>
      <c r="D2" s="436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37"/>
      <c r="B3" s="439"/>
      <c r="C3" s="440" t="s">
        <v>0</v>
      </c>
      <c r="D3" s="441" t="s">
        <v>121</v>
      </c>
      <c r="E3" s="34"/>
      <c r="F3" s="442" t="s">
        <v>26</v>
      </c>
      <c r="G3" s="443"/>
      <c r="H3" s="443"/>
      <c r="I3" s="443"/>
      <c r="J3" s="444"/>
      <c r="K3" s="89"/>
      <c r="L3" s="89"/>
      <c r="M3" s="89"/>
      <c r="N3" s="445" t="s">
        <v>193</v>
      </c>
      <c r="O3" s="446" t="s">
        <v>194</v>
      </c>
      <c r="P3" s="446"/>
      <c r="Q3" s="446"/>
      <c r="R3" s="446"/>
      <c r="S3" s="446"/>
    </row>
    <row r="4" spans="1:19" ht="22.5" customHeight="1">
      <c r="A4" s="437"/>
      <c r="B4" s="439"/>
      <c r="C4" s="440"/>
      <c r="D4" s="441"/>
      <c r="E4" s="447" t="s">
        <v>190</v>
      </c>
      <c r="F4" s="429" t="s">
        <v>34</v>
      </c>
      <c r="G4" s="422" t="s">
        <v>191</v>
      </c>
      <c r="H4" s="431" t="s">
        <v>192</v>
      </c>
      <c r="I4" s="422" t="s">
        <v>122</v>
      </c>
      <c r="J4" s="431" t="s">
        <v>123</v>
      </c>
      <c r="K4" s="91" t="s">
        <v>186</v>
      </c>
      <c r="L4" s="249" t="s">
        <v>185</v>
      </c>
      <c r="M4" s="96" t="s">
        <v>64</v>
      </c>
      <c r="N4" s="431"/>
      <c r="O4" s="433" t="s">
        <v>197</v>
      </c>
      <c r="P4" s="422" t="s">
        <v>50</v>
      </c>
      <c r="Q4" s="424" t="s">
        <v>49</v>
      </c>
      <c r="R4" s="97" t="s">
        <v>65</v>
      </c>
      <c r="S4" s="98" t="s">
        <v>64</v>
      </c>
    </row>
    <row r="5" spans="1:19" ht="67.5" customHeight="1">
      <c r="A5" s="438"/>
      <c r="B5" s="439"/>
      <c r="C5" s="440"/>
      <c r="D5" s="441"/>
      <c r="E5" s="448"/>
      <c r="F5" s="430"/>
      <c r="G5" s="423"/>
      <c r="H5" s="432"/>
      <c r="I5" s="423"/>
      <c r="J5" s="432"/>
      <c r="K5" s="425" t="s">
        <v>195</v>
      </c>
      <c r="L5" s="426"/>
      <c r="M5" s="427"/>
      <c r="N5" s="432"/>
      <c r="O5" s="434"/>
      <c r="P5" s="423"/>
      <c r="Q5" s="424"/>
      <c r="R5" s="425" t="s">
        <v>120</v>
      </c>
      <c r="S5" s="427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629357.98</v>
      </c>
      <c r="F8" s="191">
        <f>F9+F15+F18+F19+F20+F37+F17</f>
        <v>633520.83</v>
      </c>
      <c r="G8" s="191">
        <f aca="true" t="shared" si="0" ref="G8:G37">F8-E8</f>
        <v>4162.849999999977</v>
      </c>
      <c r="H8" s="192">
        <f>F8/E8*100</f>
        <v>100.6614439051047</v>
      </c>
      <c r="I8" s="193">
        <f>F8-D8</f>
        <v>-300550.6200000001</v>
      </c>
      <c r="J8" s="193">
        <f>F8/D8*100</f>
        <v>67.82359422290446</v>
      </c>
      <c r="K8" s="191">
        <f>429512.12</f>
        <v>429512.12</v>
      </c>
      <c r="L8" s="191">
        <f aca="true" t="shared" si="1" ref="L8:L51">F8-K8</f>
        <v>204008.70999999996</v>
      </c>
      <c r="M8" s="250">
        <f aca="true" t="shared" si="2" ref="M8:M28">F8/K8</f>
        <v>1.4749777724549424</v>
      </c>
      <c r="N8" s="191">
        <f>N9+N15+N18+N19+N20+N17</f>
        <v>130406.69999999995</v>
      </c>
      <c r="O8" s="191">
        <f>O9+O15+O18+O19+O20+O17</f>
        <v>89713.86999999997</v>
      </c>
      <c r="P8" s="191">
        <f>O8-N8</f>
        <v>-40692.82999999999</v>
      </c>
      <c r="Q8" s="191">
        <f>O8/N8*100</f>
        <v>68.79544532604537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328493.67+2000+1800</f>
        <v>332293.67</v>
      </c>
      <c r="F9" s="196">
        <v>339918.36</v>
      </c>
      <c r="G9" s="190">
        <f t="shared" si="0"/>
        <v>7624.690000000002</v>
      </c>
      <c r="H9" s="197">
        <f>F9/E9*100</f>
        <v>102.2945637213011</v>
      </c>
      <c r="I9" s="198">
        <f>F9-D9</f>
        <v>-190670.64</v>
      </c>
      <c r="J9" s="198">
        <f>F9/D9*100</f>
        <v>64.06434358797488</v>
      </c>
      <c r="K9" s="199">
        <v>233711.01</v>
      </c>
      <c r="L9" s="199">
        <f t="shared" si="1"/>
        <v>106207.34999999998</v>
      </c>
      <c r="M9" s="251">
        <f t="shared" si="2"/>
        <v>1.4544387960156433</v>
      </c>
      <c r="N9" s="197">
        <f>E9-липень!E9</f>
        <v>69034.39999999997</v>
      </c>
      <c r="O9" s="200">
        <f>F9-липень!F9</f>
        <v>44508.649999999965</v>
      </c>
      <c r="P9" s="201">
        <f>O9-N9</f>
        <v>-24525.75</v>
      </c>
      <c r="Q9" s="198">
        <f>O9/N9*100</f>
        <v>64.473146721055</v>
      </c>
      <c r="R9" s="106"/>
      <c r="S9" s="107"/>
      <c r="T9" s="186">
        <f>D9-E9</f>
        <v>198295.33000000002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298673.41</v>
      </c>
      <c r="G10" s="109">
        <f t="shared" si="0"/>
        <v>3303.1699999999837</v>
      </c>
      <c r="H10" s="32">
        <f aca="true" t="shared" si="3" ref="H10:H36">F10/E10*100</f>
        <v>101.11831510175162</v>
      </c>
      <c r="I10" s="110">
        <f aca="true" t="shared" si="4" ref="I10:I37">F10-D10</f>
        <v>-186535.59000000003</v>
      </c>
      <c r="J10" s="110">
        <f aca="true" t="shared" si="5" ref="J10:J36">F10/D10*100</f>
        <v>61.55562036153492</v>
      </c>
      <c r="K10" s="112">
        <v>206618.21</v>
      </c>
      <c r="L10" s="112">
        <f t="shared" si="1"/>
        <v>92055.19999999998</v>
      </c>
      <c r="M10" s="252">
        <f t="shared" si="2"/>
        <v>1.4455328501781135</v>
      </c>
      <c r="N10" s="111">
        <f>E10-липень!E10</f>
        <v>61354.399999999994</v>
      </c>
      <c r="O10" s="179">
        <f>F10-липень!F10</f>
        <v>39567.50999999998</v>
      </c>
      <c r="P10" s="112">
        <f aca="true" t="shared" si="6" ref="P10:P37">O10-N10</f>
        <v>-21786.890000000014</v>
      </c>
      <c r="Q10" s="198">
        <f aca="true" t="shared" si="7" ref="Q10:Q16">O10/N10*100</f>
        <v>64.49009362001745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19714.94</v>
      </c>
      <c r="F11" s="171">
        <v>24998.93</v>
      </c>
      <c r="G11" s="109">
        <f t="shared" si="0"/>
        <v>5283.990000000002</v>
      </c>
      <c r="H11" s="32">
        <f t="shared" si="3"/>
        <v>126.80195831181835</v>
      </c>
      <c r="I11" s="110">
        <f t="shared" si="4"/>
        <v>1998.9300000000003</v>
      </c>
      <c r="J11" s="110">
        <f t="shared" si="5"/>
        <v>108.691</v>
      </c>
      <c r="K11" s="112">
        <v>12408.56</v>
      </c>
      <c r="L11" s="112">
        <f t="shared" si="1"/>
        <v>12590.37</v>
      </c>
      <c r="M11" s="252">
        <f t="shared" si="2"/>
        <v>2.0146519821800437</v>
      </c>
      <c r="N11" s="111">
        <f>E11-липень!E11</f>
        <v>3799.999999999998</v>
      </c>
      <c r="O11" s="179">
        <f>F11-липень!F11</f>
        <v>3412.9000000000015</v>
      </c>
      <c r="P11" s="112">
        <f t="shared" si="6"/>
        <v>-387.0999999999967</v>
      </c>
      <c r="Q11" s="198">
        <f t="shared" si="7"/>
        <v>89.81315789473693</v>
      </c>
      <c r="R11" s="42"/>
      <c r="S11" s="100"/>
      <c r="T11" s="186">
        <f t="shared" si="8"/>
        <v>3285.0600000000013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5400.61</v>
      </c>
      <c r="F12" s="171">
        <v>6686.39</v>
      </c>
      <c r="G12" s="109">
        <f t="shared" si="0"/>
        <v>1285.7800000000007</v>
      </c>
      <c r="H12" s="32">
        <f t="shared" si="3"/>
        <v>123.8080513127221</v>
      </c>
      <c r="I12" s="110">
        <f t="shared" si="4"/>
        <v>186.39000000000033</v>
      </c>
      <c r="J12" s="110">
        <f t="shared" si="5"/>
        <v>102.86753846153846</v>
      </c>
      <c r="K12" s="112">
        <v>3331.36</v>
      </c>
      <c r="L12" s="112">
        <f t="shared" si="1"/>
        <v>3355.03</v>
      </c>
      <c r="M12" s="252">
        <f t="shared" si="2"/>
        <v>2.007105206282119</v>
      </c>
      <c r="N12" s="111">
        <f>E12-липень!E12</f>
        <v>2129.9999999999995</v>
      </c>
      <c r="O12" s="179">
        <f>F12-липень!F12</f>
        <v>848.9500000000007</v>
      </c>
      <c r="P12" s="112">
        <f t="shared" si="6"/>
        <v>-1281.0499999999988</v>
      </c>
      <c r="Q12" s="198">
        <f t="shared" si="7"/>
        <v>39.85680751173713</v>
      </c>
      <c r="R12" s="42"/>
      <c r="S12" s="100"/>
      <c r="T12" s="186">
        <f t="shared" si="8"/>
        <v>1099.3900000000003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7017.25</v>
      </c>
      <c r="G13" s="109">
        <f t="shared" si="0"/>
        <v>-1347.5900000000001</v>
      </c>
      <c r="H13" s="32">
        <f t="shared" si="3"/>
        <v>83.88982933325681</v>
      </c>
      <c r="I13" s="110">
        <f t="shared" si="4"/>
        <v>-5382.75</v>
      </c>
      <c r="J13" s="110">
        <f t="shared" si="5"/>
        <v>56.590725806451616</v>
      </c>
      <c r="K13" s="112">
        <v>4976.73</v>
      </c>
      <c r="L13" s="112">
        <f t="shared" si="1"/>
        <v>2040.5200000000004</v>
      </c>
      <c r="M13" s="252">
        <f t="shared" si="2"/>
        <v>1.4100121967637385</v>
      </c>
      <c r="N13" s="111">
        <f>E13-липень!E13</f>
        <v>1600</v>
      </c>
      <c r="O13" s="179">
        <f>F13-липень!F13</f>
        <v>587.79</v>
      </c>
      <c r="P13" s="112">
        <f t="shared" si="6"/>
        <v>-1012.21</v>
      </c>
      <c r="Q13" s="198">
        <f t="shared" si="7"/>
        <v>36.736875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2542.38</v>
      </c>
      <c r="G14" s="109">
        <f t="shared" si="0"/>
        <v>-900.6599999999999</v>
      </c>
      <c r="H14" s="32">
        <f t="shared" si="3"/>
        <v>73.84114038756448</v>
      </c>
      <c r="I14" s="110">
        <f t="shared" si="4"/>
        <v>-937.6199999999999</v>
      </c>
      <c r="J14" s="110">
        <f t="shared" si="5"/>
        <v>73.05689655172414</v>
      </c>
      <c r="K14" s="112">
        <v>6376.14</v>
      </c>
      <c r="L14" s="112">
        <f t="shared" si="1"/>
        <v>-3833.76</v>
      </c>
      <c r="M14" s="252">
        <f t="shared" si="2"/>
        <v>0.39873340296793985</v>
      </c>
      <c r="N14" s="111">
        <f>E14-липень!E14</f>
        <v>150</v>
      </c>
      <c r="O14" s="179">
        <f>F14-липень!F14</f>
        <v>91.5</v>
      </c>
      <c r="P14" s="112">
        <f t="shared" si="6"/>
        <v>-58.5</v>
      </c>
      <c r="Q14" s="198">
        <f t="shared" si="7"/>
        <v>61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385.26</v>
      </c>
      <c r="G15" s="190">
        <f t="shared" si="0"/>
        <v>20.25999999999999</v>
      </c>
      <c r="H15" s="197">
        <f>F15/E15*100</f>
        <v>105.55068493150685</v>
      </c>
      <c r="I15" s="198">
        <f t="shared" si="4"/>
        <v>-114.74000000000001</v>
      </c>
      <c r="J15" s="198">
        <f t="shared" si="5"/>
        <v>77.05199999999999</v>
      </c>
      <c r="K15" s="201">
        <v>-734.58</v>
      </c>
      <c r="L15" s="201">
        <f t="shared" si="1"/>
        <v>1119.8400000000001</v>
      </c>
      <c r="M15" s="253">
        <f t="shared" si="2"/>
        <v>-0.5244629584252225</v>
      </c>
      <c r="N15" s="197">
        <f>E15-липень!E15</f>
        <v>115</v>
      </c>
      <c r="O15" s="200">
        <f>F15-липень!F15</f>
        <v>76.01999999999998</v>
      </c>
      <c r="P15" s="201">
        <f t="shared" si="6"/>
        <v>-38.98000000000002</v>
      </c>
      <c r="Q15" s="198">
        <f t="shared" si="7"/>
        <v>66.10434782608694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64436.28</v>
      </c>
      <c r="G19" s="190">
        <f t="shared" si="0"/>
        <v>-4824.119999999995</v>
      </c>
      <c r="H19" s="197">
        <f t="shared" si="3"/>
        <v>93.03480776894156</v>
      </c>
      <c r="I19" s="198">
        <f t="shared" si="4"/>
        <v>-45463.72</v>
      </c>
      <c r="J19" s="198">
        <f t="shared" si="5"/>
        <v>58.63173794358507</v>
      </c>
      <c r="K19" s="209">
        <v>43877.66</v>
      </c>
      <c r="L19" s="201">
        <f t="shared" si="1"/>
        <v>20558.619999999995</v>
      </c>
      <c r="M19" s="259">
        <f t="shared" si="2"/>
        <v>1.468544129290395</v>
      </c>
      <c r="N19" s="197">
        <f>E19-липень!E19</f>
        <v>10499.999999999993</v>
      </c>
      <c r="O19" s="200">
        <f>F19-липень!F19</f>
        <v>10145.080000000002</v>
      </c>
      <c r="P19" s="201">
        <f t="shared" si="6"/>
        <v>-354.919999999991</v>
      </c>
      <c r="Q19" s="198">
        <f aca="true" t="shared" si="9" ref="Q19:Q24">O19/N19*100</f>
        <v>96.61980952380961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227333.11</v>
      </c>
      <c r="F20" s="272">
        <f>F21+F29+F30+F31+F32</f>
        <v>228674.96</v>
      </c>
      <c r="G20" s="190">
        <f t="shared" si="0"/>
        <v>1341.8500000000058</v>
      </c>
      <c r="H20" s="197">
        <f t="shared" si="3"/>
        <v>100.5902571781119</v>
      </c>
      <c r="I20" s="198">
        <f t="shared" si="4"/>
        <v>-64301.69000000003</v>
      </c>
      <c r="J20" s="198">
        <f t="shared" si="5"/>
        <v>78.05228164087478</v>
      </c>
      <c r="K20" s="198">
        <v>147068.17</v>
      </c>
      <c r="L20" s="201">
        <f t="shared" si="1"/>
        <v>81606.78999999998</v>
      </c>
      <c r="M20" s="254">
        <f t="shared" si="2"/>
        <v>1.554890905353619</v>
      </c>
      <c r="N20" s="197">
        <f>N21+N30+N31+N32</f>
        <v>50661.5</v>
      </c>
      <c r="O20" s="200">
        <f>F20-липень!F20</f>
        <v>34984.119999999995</v>
      </c>
      <c r="P20" s="201">
        <f t="shared" si="6"/>
        <v>-15677.380000000005</v>
      </c>
      <c r="Q20" s="198">
        <f t="shared" si="9"/>
        <v>69.05464701992636</v>
      </c>
      <c r="R20" s="113"/>
      <c r="S20" s="114"/>
      <c r="T20" s="186">
        <f t="shared" si="8"/>
        <v>65643.54000000004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120768.95999999999</v>
      </c>
      <c r="F21" s="211">
        <f>F22+F25+F26</f>
        <v>121679.97</v>
      </c>
      <c r="G21" s="190">
        <f t="shared" si="0"/>
        <v>911.0100000000093</v>
      </c>
      <c r="H21" s="197">
        <f t="shared" si="3"/>
        <v>100.75434118170763</v>
      </c>
      <c r="I21" s="198">
        <f t="shared" si="4"/>
        <v>-53219.67999999999</v>
      </c>
      <c r="J21" s="198">
        <f t="shared" si="5"/>
        <v>69.57130560295576</v>
      </c>
      <c r="K21" s="198">
        <v>79798.88</v>
      </c>
      <c r="L21" s="201">
        <f t="shared" si="1"/>
        <v>41881.09</v>
      </c>
      <c r="M21" s="254">
        <f t="shared" si="2"/>
        <v>1.5248330553010268</v>
      </c>
      <c r="N21" s="197">
        <f>N22+N25+N26</f>
        <v>24280.3</v>
      </c>
      <c r="O21" s="200">
        <f>F21-червень!F21</f>
        <v>35685.58</v>
      </c>
      <c r="P21" s="201">
        <f t="shared" si="6"/>
        <v>11405.280000000002</v>
      </c>
      <c r="Q21" s="198">
        <f t="shared" si="9"/>
        <v>146.9733899498771</v>
      </c>
      <c r="R21" s="113"/>
      <c r="S21" s="114"/>
      <c r="T21" s="186">
        <f t="shared" si="8"/>
        <v>54130.69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14873.47</v>
      </c>
      <c r="G22" s="212">
        <f t="shared" si="0"/>
        <v>296.5699999999997</v>
      </c>
      <c r="H22" s="214">
        <f t="shared" si="3"/>
        <v>102.03452037127236</v>
      </c>
      <c r="I22" s="215">
        <f t="shared" si="4"/>
        <v>-3626.5300000000007</v>
      </c>
      <c r="J22" s="215">
        <f t="shared" si="5"/>
        <v>80.39713513513513</v>
      </c>
      <c r="K22" s="216">
        <v>8673.74</v>
      </c>
      <c r="L22" s="206">
        <f t="shared" si="1"/>
        <v>6199.73</v>
      </c>
      <c r="M22" s="262">
        <f t="shared" si="2"/>
        <v>1.7147700991729058</v>
      </c>
      <c r="N22" s="214">
        <f>E22-липень!E22</f>
        <v>1985.2999999999993</v>
      </c>
      <c r="O22" s="217">
        <f>F22-липень!F22</f>
        <v>1003.3299999999999</v>
      </c>
      <c r="P22" s="218">
        <f t="shared" si="6"/>
        <v>-981.9699999999993</v>
      </c>
      <c r="Q22" s="215">
        <f t="shared" si="9"/>
        <v>50.53795396161791</v>
      </c>
      <c r="R22" s="113"/>
      <c r="S22" s="114"/>
      <c r="T22" s="186">
        <f t="shared" si="8"/>
        <v>3923.1000000000004</v>
      </c>
      <c r="U22" s="186"/>
    </row>
    <row r="23" spans="1:21" s="6" customFormat="1" ht="18">
      <c r="A23" s="8"/>
      <c r="B23" s="237" t="s">
        <v>164</v>
      </c>
      <c r="C23" s="238"/>
      <c r="D23" s="241">
        <v>2000</v>
      </c>
      <c r="E23" s="241">
        <v>874.4</v>
      </c>
      <c r="F23" s="203">
        <v>623.64</v>
      </c>
      <c r="G23" s="241">
        <f t="shared" si="0"/>
        <v>-250.76</v>
      </c>
      <c r="H23" s="242">
        <f t="shared" si="3"/>
        <v>71.3220494053065</v>
      </c>
      <c r="I23" s="243">
        <f t="shared" si="4"/>
        <v>-1376.3600000000001</v>
      </c>
      <c r="J23" s="243">
        <f t="shared" si="5"/>
        <v>31.182</v>
      </c>
      <c r="K23" s="261">
        <v>526.9</v>
      </c>
      <c r="L23" s="261">
        <f t="shared" si="1"/>
        <v>96.74000000000001</v>
      </c>
      <c r="M23" s="263">
        <f t="shared" si="2"/>
        <v>1.1836022015562726</v>
      </c>
      <c r="N23" s="239">
        <f>E23-липень!E23</f>
        <v>185.29999999999995</v>
      </c>
      <c r="O23" s="239">
        <f>F23-липень!F23</f>
        <v>85.80999999999995</v>
      </c>
      <c r="P23" s="240">
        <f t="shared" si="6"/>
        <v>-99.49000000000001</v>
      </c>
      <c r="Q23" s="240">
        <f t="shared" si="9"/>
        <v>46.308688613059886</v>
      </c>
      <c r="R23" s="113"/>
      <c r="S23" s="114"/>
      <c r="T23" s="186">
        <f t="shared" si="8"/>
        <v>1125.6</v>
      </c>
      <c r="U23" s="186"/>
    </row>
    <row r="24" spans="1:21" s="6" customFormat="1" ht="18">
      <c r="A24" s="8"/>
      <c r="B24" s="237" t="s">
        <v>165</v>
      </c>
      <c r="C24" s="238"/>
      <c r="D24" s="241">
        <v>16500</v>
      </c>
      <c r="E24" s="241">
        <v>13702.5</v>
      </c>
      <c r="F24" s="203">
        <v>14249.83</v>
      </c>
      <c r="G24" s="241">
        <f t="shared" si="0"/>
        <v>547.3299999999999</v>
      </c>
      <c r="H24" s="242">
        <f t="shared" si="3"/>
        <v>103.99438058748403</v>
      </c>
      <c r="I24" s="243">
        <f t="shared" si="4"/>
        <v>-2250.17</v>
      </c>
      <c r="J24" s="243">
        <f t="shared" si="5"/>
        <v>86.36260606060605</v>
      </c>
      <c r="K24" s="261">
        <v>8146.84</v>
      </c>
      <c r="L24" s="261">
        <f t="shared" si="1"/>
        <v>6102.99</v>
      </c>
      <c r="M24" s="263">
        <f t="shared" si="2"/>
        <v>1.7491235865685346</v>
      </c>
      <c r="N24" s="239">
        <f>E24-липень!E24</f>
        <v>1800</v>
      </c>
      <c r="O24" s="239">
        <f>F24-липень!F24</f>
        <v>917.5200000000004</v>
      </c>
      <c r="P24" s="240">
        <f t="shared" si="6"/>
        <v>-882.4799999999996</v>
      </c>
      <c r="Q24" s="240">
        <f t="shared" si="9"/>
        <v>50.97333333333336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669</v>
      </c>
      <c r="G25" s="212">
        <f t="shared" si="0"/>
        <v>-224.14</v>
      </c>
      <c r="H25" s="214">
        <f t="shared" si="3"/>
        <v>74.90427032716036</v>
      </c>
      <c r="I25" s="215">
        <f t="shared" si="4"/>
        <v>-331</v>
      </c>
      <c r="J25" s="215">
        <f t="shared" si="5"/>
        <v>66.9</v>
      </c>
      <c r="K25" s="215">
        <v>3116.95</v>
      </c>
      <c r="L25" s="215">
        <f t="shared" si="1"/>
        <v>-2447.95</v>
      </c>
      <c r="M25" s="257">
        <f t="shared" si="2"/>
        <v>0.21463289433580907</v>
      </c>
      <c r="N25" s="214">
        <f>E25-липень!E25</f>
        <v>200</v>
      </c>
      <c r="O25" s="217">
        <f>F25-липень!F25</f>
        <v>190.2</v>
      </c>
      <c r="P25" s="218">
        <f t="shared" si="6"/>
        <v>-9.800000000000011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f>103968.92+677+453+200</f>
        <v>105298.92</v>
      </c>
      <c r="F26" s="213">
        <v>106137.5</v>
      </c>
      <c r="G26" s="212">
        <f t="shared" si="0"/>
        <v>838.5800000000017</v>
      </c>
      <c r="H26" s="214">
        <f t="shared" si="3"/>
        <v>100.79638043771008</v>
      </c>
      <c r="I26" s="215">
        <f t="shared" si="4"/>
        <v>-49262.149999999994</v>
      </c>
      <c r="J26" s="215">
        <f t="shared" si="5"/>
        <v>68.2997033777103</v>
      </c>
      <c r="K26" s="216">
        <v>68008.19</v>
      </c>
      <c r="L26" s="216">
        <f t="shared" si="1"/>
        <v>38129.31</v>
      </c>
      <c r="M26" s="256">
        <f t="shared" si="2"/>
        <v>1.5606576207953777</v>
      </c>
      <c r="N26" s="214">
        <f>E26-липень!E26</f>
        <v>22095</v>
      </c>
      <c r="O26" s="217">
        <f>F26-липень!F26</f>
        <v>14529.710000000006</v>
      </c>
      <c r="P26" s="218">
        <f t="shared" si="6"/>
        <v>-7565.289999999994</v>
      </c>
      <c r="Q26" s="215">
        <f>O26/N26*100</f>
        <v>65.76017198461194</v>
      </c>
      <c r="R26" s="113"/>
      <c r="S26" s="114"/>
      <c r="T26" s="186">
        <f t="shared" si="8"/>
        <v>50100.729999999996</v>
      </c>
    </row>
    <row r="27" spans="1:20" s="6" customFormat="1" ht="18">
      <c r="A27" s="8"/>
      <c r="B27" s="237" t="s">
        <v>166</v>
      </c>
      <c r="C27" s="238"/>
      <c r="D27" s="241">
        <v>47367</v>
      </c>
      <c r="E27" s="241">
        <v>33291.75</v>
      </c>
      <c r="F27" s="203">
        <v>34037.82</v>
      </c>
      <c r="G27" s="241">
        <f t="shared" si="0"/>
        <v>746.0699999999997</v>
      </c>
      <c r="H27" s="242">
        <f t="shared" si="3"/>
        <v>102.24100565455404</v>
      </c>
      <c r="I27" s="243">
        <f t="shared" si="4"/>
        <v>-13329.18</v>
      </c>
      <c r="J27" s="243">
        <f t="shared" si="5"/>
        <v>71.8597757932738</v>
      </c>
      <c r="K27" s="261">
        <v>18442.07</v>
      </c>
      <c r="L27" s="261">
        <f t="shared" si="1"/>
        <v>15595.75</v>
      </c>
      <c r="M27" s="263">
        <f t="shared" si="2"/>
        <v>1.8456615770355498</v>
      </c>
      <c r="N27" s="239">
        <f>E27-липень!E27</f>
        <v>9447</v>
      </c>
      <c r="O27" s="239">
        <f>F27-липень!F27</f>
        <v>4752.060000000001</v>
      </c>
      <c r="P27" s="240">
        <f t="shared" si="6"/>
        <v>-4694.939999999999</v>
      </c>
      <c r="Q27" s="240">
        <f>O27/N27*100</f>
        <v>50.30231819625279</v>
      </c>
      <c r="R27" s="113"/>
      <c r="S27" s="114"/>
      <c r="T27" s="186">
        <f t="shared" si="8"/>
        <v>14075.25</v>
      </c>
    </row>
    <row r="28" spans="1:20" s="6" customFormat="1" ht="18">
      <c r="A28" s="8"/>
      <c r="B28" s="237" t="s">
        <v>167</v>
      </c>
      <c r="C28" s="238"/>
      <c r="D28" s="241">
        <v>108032.65</v>
      </c>
      <c r="E28" s="241">
        <v>72007.17</v>
      </c>
      <c r="F28" s="203">
        <v>72099.67</v>
      </c>
      <c r="G28" s="241">
        <f t="shared" si="0"/>
        <v>92.5</v>
      </c>
      <c r="H28" s="242">
        <f t="shared" si="3"/>
        <v>100.128459429804</v>
      </c>
      <c r="I28" s="243">
        <f t="shared" si="4"/>
        <v>-35932.979999999996</v>
      </c>
      <c r="J28" s="243">
        <f t="shared" si="5"/>
        <v>66.73877758251788</v>
      </c>
      <c r="K28" s="261">
        <v>49566.12</v>
      </c>
      <c r="L28" s="261">
        <f t="shared" si="1"/>
        <v>22533.549999999996</v>
      </c>
      <c r="M28" s="263">
        <f t="shared" si="2"/>
        <v>1.4546159755897778</v>
      </c>
      <c r="N28" s="239">
        <f>E28-липень!E28</f>
        <v>12648</v>
      </c>
      <c r="O28" s="239">
        <f>F28-липень!F28</f>
        <v>9777.64</v>
      </c>
      <c r="P28" s="240">
        <f t="shared" si="6"/>
        <v>-2870.3600000000006</v>
      </c>
      <c r="Q28" s="240">
        <f>O28/N28*100</f>
        <v>77.30581910183427</v>
      </c>
      <c r="R28" s="113"/>
      <c r="S28" s="114"/>
      <c r="T28" s="186">
        <f t="shared" si="8"/>
        <v>36025.479999999996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85.95</v>
      </c>
      <c r="G30" s="190">
        <f t="shared" si="0"/>
        <v>37.64</v>
      </c>
      <c r="H30" s="197">
        <f t="shared" si="3"/>
        <v>177.91347547091698</v>
      </c>
      <c r="I30" s="198">
        <f t="shared" si="4"/>
        <v>8.950000000000003</v>
      </c>
      <c r="J30" s="198">
        <f t="shared" si="5"/>
        <v>111.62337662337663</v>
      </c>
      <c r="K30" s="198">
        <v>48.85</v>
      </c>
      <c r="L30" s="198">
        <f t="shared" si="1"/>
        <v>37.1</v>
      </c>
      <c r="M30" s="255">
        <f>F30/K30</f>
        <v>1.759467758444217</v>
      </c>
      <c r="N30" s="197">
        <f>E30-липень!E30</f>
        <v>7.400000000000006</v>
      </c>
      <c r="O30" s="200">
        <f>F30-липень!F30</f>
        <v>20.33</v>
      </c>
      <c r="P30" s="201">
        <f t="shared" si="6"/>
        <v>12.929999999999993</v>
      </c>
      <c r="Q30" s="198">
        <f>O30/N30*100</f>
        <v>274.7297297297295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-150.23</v>
      </c>
      <c r="G31" s="190">
        <f t="shared" si="0"/>
        <v>-150.23</v>
      </c>
      <c r="H31" s="197"/>
      <c r="I31" s="198">
        <f t="shared" si="4"/>
        <v>-150.23</v>
      </c>
      <c r="J31" s="198"/>
      <c r="K31" s="198">
        <v>-614.57</v>
      </c>
      <c r="L31" s="198">
        <f t="shared" si="1"/>
        <v>464.34000000000003</v>
      </c>
      <c r="M31" s="255">
        <f>F31/K31</f>
        <v>0.24444733716256892</v>
      </c>
      <c r="N31" s="197">
        <f>E31-липень!E31</f>
        <v>0</v>
      </c>
      <c r="O31" s="200">
        <f>F31-липень!F31</f>
        <v>-11.5</v>
      </c>
      <c r="P31" s="201">
        <f t="shared" si="6"/>
        <v>-11.5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f>98815.84+7700</f>
        <v>106515.84</v>
      </c>
      <c r="F32" s="203">
        <v>107059.12</v>
      </c>
      <c r="G32" s="202">
        <f t="shared" si="0"/>
        <v>543.2799999999988</v>
      </c>
      <c r="H32" s="204">
        <f t="shared" si="3"/>
        <v>100.51004620533435</v>
      </c>
      <c r="I32" s="205">
        <f t="shared" si="4"/>
        <v>-10940.880000000005</v>
      </c>
      <c r="J32" s="205">
        <f t="shared" si="5"/>
        <v>90.72806779661016</v>
      </c>
      <c r="K32" s="219">
        <v>67835.01</v>
      </c>
      <c r="L32" s="219">
        <f>F32-K32</f>
        <v>39224.11</v>
      </c>
      <c r="M32" s="411">
        <f>F32/K32</f>
        <v>1.578228115540928</v>
      </c>
      <c r="N32" s="197">
        <f>E32-липень!E32</f>
        <v>26373.800000000003</v>
      </c>
      <c r="O32" s="200">
        <f>F32-липень!F32</f>
        <v>19252.04999999999</v>
      </c>
      <c r="P32" s="207">
        <f t="shared" si="6"/>
        <v>-7121.750000000015</v>
      </c>
      <c r="Q32" s="205">
        <f>O32/N32*100</f>
        <v>72.996875687235</v>
      </c>
      <c r="R32" s="113"/>
      <c r="S32" s="114"/>
      <c r="T32" s="186">
        <f t="shared" si="8"/>
        <v>11484.160000000003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-1.2</v>
      </c>
      <c r="L33" s="142">
        <f t="shared" si="1"/>
        <v>1.43</v>
      </c>
      <c r="M33" s="264">
        <f aca="true" t="shared" si="10" ref="M33:M39">F33/K33</f>
        <v>-0.19166666666666668</v>
      </c>
      <c r="N33" s="111">
        <f>E33-липень!E33</f>
        <v>0</v>
      </c>
      <c r="O33" s="179">
        <f>F33-липень!F33</f>
        <v>0.010000000000000009</v>
      </c>
      <c r="P33" s="112">
        <f t="shared" si="6"/>
        <v>0.010000000000000009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28217</v>
      </c>
      <c r="E34" s="109">
        <v>26962.97</v>
      </c>
      <c r="F34" s="171">
        <v>27383.08</v>
      </c>
      <c r="G34" s="109">
        <f t="shared" si="0"/>
        <v>420.1100000000006</v>
      </c>
      <c r="H34" s="111">
        <f t="shared" si="3"/>
        <v>101.55809986807833</v>
      </c>
      <c r="I34" s="110">
        <f t="shared" si="4"/>
        <v>-833.9199999999983</v>
      </c>
      <c r="J34" s="110">
        <f t="shared" si="5"/>
        <v>97.0446184923982</v>
      </c>
      <c r="K34" s="142">
        <v>16931.33</v>
      </c>
      <c r="L34" s="142">
        <f t="shared" si="1"/>
        <v>10451.75</v>
      </c>
      <c r="M34" s="264">
        <f t="shared" si="10"/>
        <v>1.617302361952664</v>
      </c>
      <c r="N34" s="111">
        <f>E34-липень!E34</f>
        <v>7267</v>
      </c>
      <c r="O34" s="179">
        <f>F34-липень!F34</f>
        <v>5628.570000000003</v>
      </c>
      <c r="P34" s="112">
        <f t="shared" si="6"/>
        <v>-1638.4299999999967</v>
      </c>
      <c r="Q34" s="110">
        <f>O34/N34*100</f>
        <v>77.45383239300953</v>
      </c>
      <c r="R34" s="113"/>
      <c r="S34" s="114"/>
      <c r="T34" s="186">
        <f t="shared" si="8"/>
        <v>1254.0299999999988</v>
      </c>
    </row>
    <row r="35" spans="1:20" s="6" customFormat="1" ht="15">
      <c r="A35" s="8"/>
      <c r="B35" s="55" t="s">
        <v>96</v>
      </c>
      <c r="C35" s="108">
        <v>18050400</v>
      </c>
      <c r="D35" s="109">
        <v>89732</v>
      </c>
      <c r="E35" s="109">
        <v>79536.08</v>
      </c>
      <c r="F35" s="171">
        <v>79650.8</v>
      </c>
      <c r="G35" s="109">
        <f t="shared" si="0"/>
        <v>114.72000000000116</v>
      </c>
      <c r="H35" s="111">
        <f t="shared" si="3"/>
        <v>100.1442364270404</v>
      </c>
      <c r="I35" s="110">
        <f t="shared" si="4"/>
        <v>-10081.199999999997</v>
      </c>
      <c r="J35" s="110">
        <f t="shared" si="5"/>
        <v>88.76521196451657</v>
      </c>
      <c r="K35" s="142">
        <v>50888.07</v>
      </c>
      <c r="L35" s="142">
        <f t="shared" si="1"/>
        <v>28762.730000000003</v>
      </c>
      <c r="M35" s="264">
        <f t="shared" si="10"/>
        <v>1.5652155799974337</v>
      </c>
      <c r="N35" s="111">
        <f>E35-липень!E35</f>
        <v>19100</v>
      </c>
      <c r="O35" s="179">
        <f>F35-липень!F35</f>
        <v>13618.979999999996</v>
      </c>
      <c r="P35" s="112">
        <f t="shared" si="6"/>
        <v>-5481.020000000004</v>
      </c>
      <c r="Q35" s="110">
        <f>O35/N35*100</f>
        <v>71.30356020942406</v>
      </c>
      <c r="R35" s="113"/>
      <c r="S35" s="114"/>
      <c r="T35" s="186">
        <f t="shared" si="8"/>
        <v>10195.919999999998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25</v>
      </c>
      <c r="G36" s="109">
        <f t="shared" si="0"/>
        <v>8.21</v>
      </c>
      <c r="H36" s="111">
        <f t="shared" si="3"/>
        <v>148.89815366289457</v>
      </c>
      <c r="I36" s="110">
        <f t="shared" si="4"/>
        <v>-26</v>
      </c>
      <c r="J36" s="110">
        <f t="shared" si="5"/>
        <v>49.01960784313725</v>
      </c>
      <c r="K36" s="142">
        <v>16.81</v>
      </c>
      <c r="L36" s="142">
        <f t="shared" si="1"/>
        <v>8.190000000000001</v>
      </c>
      <c r="M36" s="264">
        <f t="shared" si="10"/>
        <v>1.48720999405116</v>
      </c>
      <c r="N36" s="111">
        <f>E36-липень!E36</f>
        <v>6.799999999999999</v>
      </c>
      <c r="O36" s="179">
        <f>F36-липень!F36</f>
        <v>4.48</v>
      </c>
      <c r="P36" s="112">
        <f t="shared" si="6"/>
        <v>-2.3199999999999985</v>
      </c>
      <c r="Q36" s="110"/>
      <c r="R36" s="113"/>
      <c r="S36" s="114"/>
      <c r="T36" s="186">
        <f t="shared" si="8"/>
        <v>34.21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F37-липень!F37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43061.03</v>
      </c>
      <c r="F38" s="191">
        <f>F39+F40+F41+F42+F43+F45+F47+F48+F49+F50+F51+F56+F57+F61+F44</f>
        <v>42988.27</v>
      </c>
      <c r="G38" s="191">
        <f>G39+G40+G41+G42+G43+G45+G47+G48+G49+G50+G51+G56+G57+G61</f>
        <v>-99.90999999999931</v>
      </c>
      <c r="H38" s="192">
        <f>F38/E38*100</f>
        <v>99.83103051645537</v>
      </c>
      <c r="I38" s="193">
        <f>F38-D38</f>
        <v>-13847.210000000006</v>
      </c>
      <c r="J38" s="193">
        <f>F38/D38*100</f>
        <v>75.63632787125223</v>
      </c>
      <c r="K38" s="191">
        <v>21607.34</v>
      </c>
      <c r="L38" s="191">
        <f t="shared" si="1"/>
        <v>21380.929999999997</v>
      </c>
      <c r="M38" s="250">
        <f t="shared" si="10"/>
        <v>1.9895216162655838</v>
      </c>
      <c r="N38" s="191">
        <f>N39+N40+N41+N42+N43+N45+N47+N48+N49+N50+N51+N56+N57+N61+N44</f>
        <v>18066</v>
      </c>
      <c r="O38" s="191">
        <f>O39+O40+O41+O42+O43+O45+O47+O48+O49+O50+O51+O56+O57+O61+O44</f>
        <v>6201.989999999999</v>
      </c>
      <c r="P38" s="191">
        <f>P39+P40+P41+P42+P43+P45+P47+P48+P49+P50+P51+P56+P57+P61</f>
        <v>-11863.68</v>
      </c>
      <c r="Q38" s="191">
        <f>O38/N38*100</f>
        <v>34.329624709398864</v>
      </c>
      <c r="R38" s="15" t="e">
        <f>#N/A</f>
        <v>#N/A</v>
      </c>
      <c r="S38" s="15" t="e">
        <f>#N/A</f>
        <v>#N/A</v>
      </c>
      <c r="T38" s="186">
        <f t="shared" si="8"/>
        <v>13774.450000000004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416.84</v>
      </c>
      <c r="G39" s="202">
        <f>F39-E39</f>
        <v>36.839999999999975</v>
      </c>
      <c r="H39" s="204">
        <f aca="true" t="shared" si="11" ref="H39:H62">F39/E39*100</f>
        <v>109.69473684210527</v>
      </c>
      <c r="I39" s="205">
        <f>F39-D39</f>
        <v>16.839999999999975</v>
      </c>
      <c r="J39" s="205">
        <f>F39/D39*100</f>
        <v>104.21000000000001</v>
      </c>
      <c r="K39" s="205">
        <v>-60.36</v>
      </c>
      <c r="L39" s="205">
        <f t="shared" si="1"/>
        <v>477.2</v>
      </c>
      <c r="M39" s="266">
        <f t="shared" si="10"/>
        <v>-6.905897945659377</v>
      </c>
      <c r="N39" s="204">
        <f>E39-липень!E39</f>
        <v>310</v>
      </c>
      <c r="O39" s="208">
        <f>F39-липень!F39</f>
        <v>175.45</v>
      </c>
      <c r="P39" s="207">
        <f>O39-N39</f>
        <v>-134.55</v>
      </c>
      <c r="Q39" s="205">
        <f aca="true" t="shared" si="12" ref="Q39:Q62">O39/N39*100</f>
        <v>56.596774193548384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f>17767+2700</f>
        <v>20467</v>
      </c>
      <c r="F40" s="196">
        <v>20560.18</v>
      </c>
      <c r="G40" s="202">
        <f aca="true" t="shared" si="13" ref="G40:G63">F40-E40</f>
        <v>93.18000000000029</v>
      </c>
      <c r="H40" s="204">
        <f t="shared" si="11"/>
        <v>100.45526945815215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12930</v>
      </c>
      <c r="O40" s="208">
        <f>F40-липень!F40</f>
        <v>3289.16</v>
      </c>
      <c r="P40" s="207">
        <f aca="true" t="shared" si="15" ref="P40:P63">O40-N40</f>
        <v>-9640.84</v>
      </c>
      <c r="Q40" s="205">
        <f t="shared" si="12"/>
        <v>25.43820572312451</v>
      </c>
      <c r="R40" s="42"/>
      <c r="S40" s="100"/>
      <c r="T40" s="186">
        <f t="shared" si="8"/>
        <v>4533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195.12</v>
      </c>
      <c r="G43" s="202">
        <f t="shared" si="13"/>
        <v>115.12</v>
      </c>
      <c r="H43" s="204">
        <f t="shared" si="11"/>
        <v>243.9</v>
      </c>
      <c r="I43" s="205">
        <f t="shared" si="14"/>
        <v>45.120000000000005</v>
      </c>
      <c r="J43" s="205">
        <f t="shared" si="16"/>
        <v>130.07999999999998</v>
      </c>
      <c r="K43" s="205">
        <v>104.06</v>
      </c>
      <c r="L43" s="205">
        <f t="shared" si="1"/>
        <v>91.06</v>
      </c>
      <c r="M43" s="266">
        <f t="shared" si="17"/>
        <v>1.8750720738035749</v>
      </c>
      <c r="N43" s="204">
        <f>E43-липень!E43</f>
        <v>10</v>
      </c>
      <c r="O43" s="208">
        <f>F43-липень!F43</f>
        <v>7.159999999999997</v>
      </c>
      <c r="P43" s="207">
        <f t="shared" si="15"/>
        <v>-2.8400000000000034</v>
      </c>
      <c r="Q43" s="205">
        <f t="shared" si="12"/>
        <v>71.59999999999997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3.5</v>
      </c>
      <c r="L44" s="205">
        <f t="shared" si="1"/>
        <v>37.65</v>
      </c>
      <c r="M44" s="266">
        <f t="shared" si="17"/>
        <v>11.757142857142856</v>
      </c>
      <c r="N44" s="204">
        <f>E44-липень!E44</f>
        <v>14</v>
      </c>
      <c r="O44" s="208">
        <f>F44-липень!F44</f>
        <v>13.669999999999998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328.11</v>
      </c>
      <c r="G45" s="202">
        <f t="shared" si="13"/>
        <v>72.11000000000001</v>
      </c>
      <c r="H45" s="204">
        <f t="shared" si="11"/>
        <v>128.16796875</v>
      </c>
      <c r="I45" s="205">
        <f t="shared" si="14"/>
        <v>28.110000000000014</v>
      </c>
      <c r="J45" s="205">
        <f t="shared" si="16"/>
        <v>109.37</v>
      </c>
      <c r="K45" s="205">
        <v>0</v>
      </c>
      <c r="L45" s="205">
        <f t="shared" si="1"/>
        <v>328.11</v>
      </c>
      <c r="M45" s="266"/>
      <c r="N45" s="204">
        <f>E45-липень!E45</f>
        <v>208</v>
      </c>
      <c r="O45" s="208">
        <f>F45-липень!F45</f>
        <v>79.74000000000001</v>
      </c>
      <c r="P45" s="207">
        <f t="shared" si="15"/>
        <v>-128.26</v>
      </c>
      <c r="Q45" s="205">
        <f t="shared" si="12"/>
        <v>38.33653846153847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f>6139.02+910</f>
        <v>7049.02</v>
      </c>
      <c r="F47" s="196">
        <v>7062.64</v>
      </c>
      <c r="G47" s="202">
        <f t="shared" si="13"/>
        <v>13.61999999999989</v>
      </c>
      <c r="H47" s="204">
        <f t="shared" si="11"/>
        <v>100.19321834808244</v>
      </c>
      <c r="I47" s="205">
        <f t="shared" si="14"/>
        <v>-2837.3599999999997</v>
      </c>
      <c r="J47" s="205">
        <f t="shared" si="16"/>
        <v>71.33979797979798</v>
      </c>
      <c r="K47" s="205">
        <v>6772.05</v>
      </c>
      <c r="L47" s="205">
        <f t="shared" si="1"/>
        <v>290.59000000000015</v>
      </c>
      <c r="M47" s="266">
        <f t="shared" si="17"/>
        <v>1.0429101970599746</v>
      </c>
      <c r="N47" s="204">
        <f>E47-липень!E47</f>
        <v>1710</v>
      </c>
      <c r="O47" s="208">
        <f>F47-липень!F47</f>
        <v>972.0100000000002</v>
      </c>
      <c r="P47" s="207">
        <f t="shared" si="15"/>
        <v>-737.9899999999998</v>
      </c>
      <c r="Q47" s="205">
        <f t="shared" si="12"/>
        <v>56.84269005847955</v>
      </c>
      <c r="R47" s="42"/>
      <c r="S47" s="100"/>
      <c r="T47" s="186">
        <f t="shared" si="8"/>
        <v>2850.9799999999996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168.26</v>
      </c>
      <c r="G48" s="202">
        <f t="shared" si="13"/>
        <v>-481.74</v>
      </c>
      <c r="H48" s="204">
        <f t="shared" si="11"/>
        <v>25.886153846153842</v>
      </c>
      <c r="I48" s="205">
        <f t="shared" si="14"/>
        <v>-481.74</v>
      </c>
      <c r="J48" s="205">
        <f t="shared" si="16"/>
        <v>25.886153846153842</v>
      </c>
      <c r="K48" s="205">
        <v>0</v>
      </c>
      <c r="L48" s="205">
        <f t="shared" si="1"/>
        <v>168.26</v>
      </c>
      <c r="M48" s="266"/>
      <c r="N48" s="204">
        <f>E48-липень!E48</f>
        <v>0</v>
      </c>
      <c r="O48" s="208">
        <f>F48-липень!F48</f>
        <v>50.86999999999999</v>
      </c>
      <c r="P48" s="207">
        <f t="shared" si="15"/>
        <v>50.86999999999999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15.44</v>
      </c>
      <c r="G49" s="202">
        <f t="shared" si="13"/>
        <v>-12.56</v>
      </c>
      <c r="H49" s="204">
        <f t="shared" si="11"/>
        <v>55.14285714285714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E49-липень!E49</f>
        <v>4</v>
      </c>
      <c r="O49" s="208">
        <f>F49-липень!F49</f>
        <v>6.9</v>
      </c>
      <c r="P49" s="207">
        <f t="shared" si="15"/>
        <v>2.9000000000000004</v>
      </c>
      <c r="Q49" s="205">
        <f t="shared" si="12"/>
        <v>172.5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4347.61</v>
      </c>
      <c r="G51" s="202">
        <f t="shared" si="13"/>
        <v>-43.57999999999993</v>
      </c>
      <c r="H51" s="204">
        <f t="shared" si="11"/>
        <v>99.00755831562743</v>
      </c>
      <c r="I51" s="205">
        <f t="shared" si="14"/>
        <v>-2652.4300000000003</v>
      </c>
      <c r="J51" s="205">
        <f t="shared" si="16"/>
        <v>62.108359380803535</v>
      </c>
      <c r="K51" s="205">
        <v>5221.43</v>
      </c>
      <c r="L51" s="205">
        <f t="shared" si="1"/>
        <v>-873.8200000000006</v>
      </c>
      <c r="M51" s="266">
        <f t="shared" si="17"/>
        <v>0.8326473782086515</v>
      </c>
      <c r="N51" s="204">
        <f>E51-липень!E51</f>
        <v>519.9999999999995</v>
      </c>
      <c r="O51" s="208">
        <f>F51-липень!F51</f>
        <v>622.8199999999997</v>
      </c>
      <c r="P51" s="207">
        <f t="shared" si="15"/>
        <v>102.82000000000016</v>
      </c>
      <c r="Q51" s="205">
        <f t="shared" si="12"/>
        <v>119.77307692307697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570.13</v>
      </c>
      <c r="G52" s="36">
        <f t="shared" si="13"/>
        <v>-93.86000000000001</v>
      </c>
      <c r="H52" s="32">
        <f t="shared" si="11"/>
        <v>85.86424494344794</v>
      </c>
      <c r="I52" s="110">
        <f t="shared" si="14"/>
        <v>-399.87</v>
      </c>
      <c r="J52" s="110">
        <f t="shared" si="16"/>
        <v>58.77628865979382</v>
      </c>
      <c r="K52" s="110">
        <v>735.13</v>
      </c>
      <c r="L52" s="110">
        <f>F52-K52</f>
        <v>-165</v>
      </c>
      <c r="M52" s="115">
        <f t="shared" si="17"/>
        <v>0.7755499027382912</v>
      </c>
      <c r="N52" s="111">
        <f>E52-липень!E52</f>
        <v>20</v>
      </c>
      <c r="O52" s="179">
        <f>F52-липень!F52</f>
        <v>65.99000000000001</v>
      </c>
      <c r="P52" s="112">
        <f t="shared" si="15"/>
        <v>45.99000000000001</v>
      </c>
      <c r="Q52" s="132">
        <f t="shared" si="12"/>
        <v>329.95000000000005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3777.19</v>
      </c>
      <c r="G55" s="36">
        <f t="shared" si="13"/>
        <v>55.01999999999998</v>
      </c>
      <c r="H55" s="32">
        <f t="shared" si="11"/>
        <v>101.4781699922357</v>
      </c>
      <c r="I55" s="110">
        <f t="shared" si="14"/>
        <v>-2246.81</v>
      </c>
      <c r="J55" s="110">
        <f t="shared" si="16"/>
        <v>62.7023572377158</v>
      </c>
      <c r="K55" s="110">
        <v>4440.11</v>
      </c>
      <c r="L55" s="110">
        <f>F55-K55</f>
        <v>-662.9199999999996</v>
      </c>
      <c r="M55" s="115">
        <f t="shared" si="17"/>
        <v>0.8506973926321646</v>
      </c>
      <c r="N55" s="111">
        <f>E55-липень!E55</f>
        <v>500</v>
      </c>
      <c r="O55" s="179">
        <f>F55-липень!F55</f>
        <v>556.81</v>
      </c>
      <c r="P55" s="112">
        <f t="shared" si="15"/>
        <v>56.809999999999945</v>
      </c>
      <c r="Q55" s="132">
        <f t="shared" si="12"/>
        <v>111.36199999999998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f>3567.98+700</f>
        <v>4267.98</v>
      </c>
      <c r="F57" s="196">
        <v>4601.83</v>
      </c>
      <c r="G57" s="202">
        <f t="shared" si="13"/>
        <v>333.85000000000036</v>
      </c>
      <c r="H57" s="204">
        <f t="shared" si="11"/>
        <v>107.8222016035689</v>
      </c>
      <c r="I57" s="205">
        <f t="shared" si="14"/>
        <v>-548.1700000000001</v>
      </c>
      <c r="J57" s="205">
        <f t="shared" si="16"/>
        <v>89.35592233009709</v>
      </c>
      <c r="K57" s="205">
        <v>3192.65</v>
      </c>
      <c r="L57" s="205">
        <f aca="true" t="shared" si="18" ref="L57:L63">F57-K57</f>
        <v>1409.1799999999998</v>
      </c>
      <c r="M57" s="266">
        <f t="shared" si="17"/>
        <v>1.4413825505457847</v>
      </c>
      <c r="N57" s="204">
        <f>E57-липень!E57</f>
        <v>1629.9999999999995</v>
      </c>
      <c r="O57" s="208">
        <f>F57-липень!F57</f>
        <v>339.9300000000003</v>
      </c>
      <c r="P57" s="207">
        <f t="shared" si="15"/>
        <v>-1290.0699999999993</v>
      </c>
      <c r="Q57" s="205">
        <f t="shared" si="12"/>
        <v>20.85460122699389</v>
      </c>
      <c r="R57" s="42"/>
      <c r="S57" s="100"/>
      <c r="T57" s="186">
        <f t="shared" si="8"/>
        <v>882.0200000000004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860.4</v>
      </c>
      <c r="G59" s="202"/>
      <c r="H59" s="204"/>
      <c r="I59" s="205"/>
      <c r="J59" s="205"/>
      <c r="K59" s="206">
        <v>890.52</v>
      </c>
      <c r="L59" s="205">
        <f t="shared" si="18"/>
        <v>-30.120000000000005</v>
      </c>
      <c r="M59" s="266">
        <f t="shared" si="17"/>
        <v>0.966177065085568</v>
      </c>
      <c r="N59" s="236"/>
      <c r="O59" s="220">
        <f>F59-липень!F59</f>
        <v>126.56999999999994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152.27</v>
      </c>
      <c r="G61" s="202">
        <f t="shared" si="13"/>
        <v>52.27000000000001</v>
      </c>
      <c r="H61" s="204">
        <f t="shared" si="11"/>
        <v>152.27</v>
      </c>
      <c r="I61" s="205">
        <f t="shared" si="14"/>
        <v>52.27000000000001</v>
      </c>
      <c r="J61" s="205">
        <f t="shared" si="16"/>
        <v>152.27</v>
      </c>
      <c r="K61" s="205">
        <v>0.6</v>
      </c>
      <c r="L61" s="205">
        <f t="shared" si="18"/>
        <v>151.67000000000002</v>
      </c>
      <c r="M61" s="266">
        <f t="shared" si="17"/>
        <v>253.78333333333336</v>
      </c>
      <c r="N61" s="204">
        <f>E61-липень!E61</f>
        <v>80</v>
      </c>
      <c r="O61" s="208">
        <f>F61-липень!F61</f>
        <v>74.09</v>
      </c>
      <c r="P61" s="207">
        <f t="shared" si="15"/>
        <v>-5.909999999999997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672436.01</v>
      </c>
      <c r="F64" s="191">
        <f>F8+F38+F62+F63-0.02</f>
        <v>676523.63</v>
      </c>
      <c r="G64" s="191">
        <f>F64-E64</f>
        <v>4087.6199999999953</v>
      </c>
      <c r="H64" s="192">
        <f>F64/E64*100</f>
        <v>100.60788237679299</v>
      </c>
      <c r="I64" s="193">
        <f>F64-D64</f>
        <v>-314414.1000000001</v>
      </c>
      <c r="J64" s="193">
        <f>F64/D64*100</f>
        <v>68.27105372201339</v>
      </c>
      <c r="K64" s="193">
        <v>451134.19</v>
      </c>
      <c r="L64" s="193">
        <f>F64-K64</f>
        <v>225389.44</v>
      </c>
      <c r="M64" s="267">
        <f>F64/K64</f>
        <v>1.4996062036441973</v>
      </c>
      <c r="N64" s="191">
        <f>N8+N38+N62+N63</f>
        <v>148475.19999999995</v>
      </c>
      <c r="O64" s="191">
        <f>O8+O38+O62+O63-0.03</f>
        <v>95915.83999999997</v>
      </c>
      <c r="P64" s="195">
        <f>O64-N64</f>
        <v>-52559.359999999986</v>
      </c>
      <c r="Q64" s="193">
        <f>O64/N64*100</f>
        <v>64.60057976012156</v>
      </c>
      <c r="R64" s="28">
        <f>O64-34768</f>
        <v>61147.83999999997</v>
      </c>
      <c r="S64" s="128">
        <f>O64/34768</f>
        <v>2.758739070409571</v>
      </c>
      <c r="T64" s="186">
        <f t="shared" si="8"/>
        <v>318501.7200000001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</v>
      </c>
      <c r="G70" s="202">
        <f>F70-E70</f>
        <v>-3.8</v>
      </c>
      <c r="H70" s="204"/>
      <c r="I70" s="207">
        <f>F70-D70</f>
        <v>-3.8</v>
      </c>
      <c r="J70" s="207"/>
      <c r="K70" s="207">
        <v>-49.19</v>
      </c>
      <c r="L70" s="207">
        <f>F70-K70</f>
        <v>45.39</v>
      </c>
      <c r="M70" s="254">
        <f>F70/K70</f>
        <v>0.07725147387680423</v>
      </c>
      <c r="N70" s="204"/>
      <c r="O70" s="223">
        <f>F70-липень!F70</f>
        <v>-1.5</v>
      </c>
      <c r="P70" s="207">
        <f>O70-N70</f>
        <v>-1.5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-3.79</v>
      </c>
      <c r="G71" s="226">
        <f>F71-E71</f>
        <v>-3.79</v>
      </c>
      <c r="H71" s="227"/>
      <c r="I71" s="228">
        <f>F71-D71</f>
        <v>-3.79</v>
      </c>
      <c r="J71" s="228"/>
      <c r="K71" s="228">
        <v>-49.19</v>
      </c>
      <c r="L71" s="228">
        <f>F71-K71</f>
        <v>45.4</v>
      </c>
      <c r="M71" s="260">
        <f>F71/K71</f>
        <v>0.07704818052449686</v>
      </c>
      <c r="N71" s="226">
        <f>N70</f>
        <v>0</v>
      </c>
      <c r="O71" s="229">
        <f>SUM(O69:O70)</f>
        <v>-1.5</v>
      </c>
      <c r="P71" s="228">
        <f>O71-N71</f>
        <v>-1.5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1535.2</v>
      </c>
      <c r="G73" s="202">
        <f aca="true" t="shared" si="19" ref="G73:G83">F73-E73</f>
        <v>-664.8</v>
      </c>
      <c r="H73" s="204"/>
      <c r="I73" s="207">
        <f aca="true" t="shared" si="20" ref="I73:I83">F73-D73</f>
        <v>-2664.8</v>
      </c>
      <c r="J73" s="207">
        <f>F73/D73*100</f>
        <v>36.55238095238095</v>
      </c>
      <c r="K73" s="207">
        <v>593.02</v>
      </c>
      <c r="L73" s="207">
        <f aca="true" t="shared" si="21" ref="L73:L83">F73-K73</f>
        <v>942.1800000000001</v>
      </c>
      <c r="M73" s="254">
        <f>F73/K73</f>
        <v>2.588782840376379</v>
      </c>
      <c r="N73" s="204">
        <f>E73-липень!E73</f>
        <v>400</v>
      </c>
      <c r="O73" s="208">
        <f>F73-липень!F73</f>
        <v>0.14000000000010004</v>
      </c>
      <c r="P73" s="207">
        <f aca="true" t="shared" si="22" ref="P73:P86">O73-N73</f>
        <v>-399.8599999999999</v>
      </c>
      <c r="Q73" s="207">
        <f>O73/N73*100</f>
        <v>0.03500000000002501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6783.53</v>
      </c>
      <c r="G74" s="202">
        <f t="shared" si="19"/>
        <v>2906.3199999999997</v>
      </c>
      <c r="H74" s="204">
        <f>F74/E74*100</f>
        <v>174.95905560957493</v>
      </c>
      <c r="I74" s="207">
        <f t="shared" si="20"/>
        <v>-675.4700000000003</v>
      </c>
      <c r="J74" s="207">
        <f>F74/D74*100</f>
        <v>90.94422844885372</v>
      </c>
      <c r="K74" s="207">
        <v>3758.64</v>
      </c>
      <c r="L74" s="207">
        <f t="shared" si="21"/>
        <v>3024.89</v>
      </c>
      <c r="M74" s="254">
        <f>F74/K74</f>
        <v>1.8047831130408871</v>
      </c>
      <c r="N74" s="204">
        <f>E74-липень!E74</f>
        <v>549.9000000000001</v>
      </c>
      <c r="O74" s="208">
        <f>F74-липень!F74</f>
        <v>32.029999999999745</v>
      </c>
      <c r="P74" s="207">
        <f t="shared" si="22"/>
        <v>-517.8700000000003</v>
      </c>
      <c r="Q74" s="207">
        <f>O74/N74*100</f>
        <v>5.824695399163437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10477.1</v>
      </c>
      <c r="G75" s="202">
        <f t="shared" si="19"/>
        <v>8080.25</v>
      </c>
      <c r="H75" s="204">
        <f>F75/E75*100</f>
        <v>437.11955274631293</v>
      </c>
      <c r="I75" s="207">
        <f t="shared" si="20"/>
        <v>4477.1</v>
      </c>
      <c r="J75" s="207">
        <f>F75/D75*100</f>
        <v>174.61833333333334</v>
      </c>
      <c r="K75" s="207">
        <v>1838.64</v>
      </c>
      <c r="L75" s="207">
        <f t="shared" si="21"/>
        <v>8638.460000000001</v>
      </c>
      <c r="M75" s="254">
        <f>F75/K75</f>
        <v>5.698287864943654</v>
      </c>
      <c r="N75" s="204">
        <f>E75-липень!E75</f>
        <v>302</v>
      </c>
      <c r="O75" s="208">
        <f>F75-липень!F75</f>
        <v>967.4099999999999</v>
      </c>
      <c r="P75" s="207">
        <f t="shared" si="22"/>
        <v>665.4099999999999</v>
      </c>
      <c r="Q75" s="207">
        <f>O75/N75*100</f>
        <v>320.3344370860927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18801.83</v>
      </c>
      <c r="G77" s="226">
        <f t="shared" si="19"/>
        <v>10319.770000000002</v>
      </c>
      <c r="H77" s="227">
        <f>F77/E77*100</f>
        <v>221.66584532531016</v>
      </c>
      <c r="I77" s="228">
        <f t="shared" si="20"/>
        <v>1130.8300000000017</v>
      </c>
      <c r="J77" s="228">
        <f>F77/D77*100</f>
        <v>106.3993548752193</v>
      </c>
      <c r="K77" s="228">
        <v>5991.37</v>
      </c>
      <c r="L77" s="228">
        <f t="shared" si="21"/>
        <v>12810.460000000003</v>
      </c>
      <c r="M77" s="260">
        <f>F77/K77</f>
        <v>3.13815204202044</v>
      </c>
      <c r="N77" s="226">
        <f>N73+N74+N75+N76</f>
        <v>1252.9</v>
      </c>
      <c r="O77" s="230">
        <f>O73+O74+O75+O76</f>
        <v>999.5799999999997</v>
      </c>
      <c r="P77" s="228">
        <f t="shared" si="22"/>
        <v>-253.3200000000004</v>
      </c>
      <c r="Q77" s="228">
        <f>O77/N77*100</f>
        <v>79.78130736690873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f>F79-0</f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6824.83</v>
      </c>
      <c r="G80" s="202">
        <f t="shared" si="19"/>
        <v>-798.7700000000004</v>
      </c>
      <c r="H80" s="204">
        <f>F80/E80*100</f>
        <v>89.52240411354215</v>
      </c>
      <c r="I80" s="207">
        <f t="shared" si="20"/>
        <v>-2675.17</v>
      </c>
      <c r="J80" s="207">
        <f>F80/D80*100</f>
        <v>71.84031578947369</v>
      </c>
      <c r="K80" s="207">
        <v>0</v>
      </c>
      <c r="L80" s="207">
        <f t="shared" si="21"/>
        <v>6824.83</v>
      </c>
      <c r="M80" s="254"/>
      <c r="N80" s="204">
        <f>E80-липень!E80</f>
        <v>2496.3</v>
      </c>
      <c r="O80" s="208">
        <f>F80-липень!F80</f>
        <v>1922.4899999999998</v>
      </c>
      <c r="P80" s="207">
        <f>O80-N80</f>
        <v>-573.8100000000004</v>
      </c>
      <c r="Q80" s="231">
        <f>O80/N80*100</f>
        <v>77.01358009854583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19"/>
        <v>0.92</v>
      </c>
      <c r="H81" s="204"/>
      <c r="I81" s="207">
        <f t="shared" si="20"/>
        <v>0.92</v>
      </c>
      <c r="J81" s="207"/>
      <c r="K81" s="207">
        <v>0.88</v>
      </c>
      <c r="L81" s="207">
        <f t="shared" si="21"/>
        <v>0.040000000000000036</v>
      </c>
      <c r="M81" s="254">
        <f>F81/K81</f>
        <v>1.0454545454545454</v>
      </c>
      <c r="N81" s="204">
        <f>E81-липень!E81</f>
        <v>0</v>
      </c>
      <c r="O81" s="208">
        <f>F81-липень!F81</f>
        <v>0</v>
      </c>
      <c r="P81" s="207">
        <f t="shared" si="22"/>
        <v>0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6831.42</v>
      </c>
      <c r="G82" s="224">
        <f>G78+G81+G79+G80</f>
        <v>-792.1800000000004</v>
      </c>
      <c r="H82" s="227">
        <f>F82/E82*100</f>
        <v>89.6088462143869</v>
      </c>
      <c r="I82" s="228">
        <f t="shared" si="20"/>
        <v>-2669.58</v>
      </c>
      <c r="J82" s="228">
        <f>F82/D82*100</f>
        <v>71.90211556678244</v>
      </c>
      <c r="K82" s="228">
        <v>0.83</v>
      </c>
      <c r="L82" s="228">
        <f t="shared" si="21"/>
        <v>6830.59</v>
      </c>
      <c r="M82" s="268">
        <f>F82/K82</f>
        <v>8230.626506024097</v>
      </c>
      <c r="N82" s="226">
        <f>N78+N81+N79+N80</f>
        <v>2496.3</v>
      </c>
      <c r="O82" s="230">
        <f>O78+O81+O79+O80</f>
        <v>1922.9499999999998</v>
      </c>
      <c r="P82" s="226">
        <f>P78+P81+P79+P80</f>
        <v>-573.3500000000004</v>
      </c>
      <c r="Q82" s="228">
        <f>O82/N82*100</f>
        <v>77.03200737090893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19.4</v>
      </c>
      <c r="G83" s="202">
        <f t="shared" si="19"/>
        <v>-1.4000000000000021</v>
      </c>
      <c r="H83" s="204">
        <f>F83/E83*100</f>
        <v>93.26923076923076</v>
      </c>
      <c r="I83" s="207">
        <f t="shared" si="20"/>
        <v>-23.6</v>
      </c>
      <c r="J83" s="207">
        <f>F83/D83*100</f>
        <v>45.11627906976744</v>
      </c>
      <c r="K83" s="207">
        <v>21.06</v>
      </c>
      <c r="L83" s="207">
        <f t="shared" si="21"/>
        <v>-1.6600000000000001</v>
      </c>
      <c r="M83" s="254">
        <f>F83/K83</f>
        <v>0.9211775878442545</v>
      </c>
      <c r="N83" s="204">
        <f>E83-липень!E83</f>
        <v>0.5</v>
      </c>
      <c r="O83" s="208">
        <f>F83-липень!F83</f>
        <v>0.639999999999997</v>
      </c>
      <c r="P83" s="207">
        <f t="shared" si="22"/>
        <v>0.13999999999999702</v>
      </c>
      <c r="Q83" s="207">
        <f>O83/N83</f>
        <v>1.279999999999994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25648.86</v>
      </c>
      <c r="G85" s="233">
        <f>F85-E85</f>
        <v>9522.400000000001</v>
      </c>
      <c r="H85" s="234">
        <f>F85/E85*100</f>
        <v>159.04829702240914</v>
      </c>
      <c r="I85" s="235">
        <f>F85-D85</f>
        <v>-1566.1399999999994</v>
      </c>
      <c r="J85" s="235">
        <f>F85/D85*100</f>
        <v>94.24530589748301</v>
      </c>
      <c r="K85" s="235">
        <v>6163.42</v>
      </c>
      <c r="L85" s="235">
        <f>F85-K85</f>
        <v>19485.440000000002</v>
      </c>
      <c r="M85" s="269">
        <f>F85/K85</f>
        <v>4.161465549970633</v>
      </c>
      <c r="N85" s="232">
        <f>N71+N83+N77+N82</f>
        <v>3749.7000000000003</v>
      </c>
      <c r="O85" s="232">
        <f>O71+O83+O77+O82+O84</f>
        <v>2921.6699999999996</v>
      </c>
      <c r="P85" s="235">
        <f t="shared" si="22"/>
        <v>-828.0300000000007</v>
      </c>
      <c r="Q85" s="235">
        <f>O85/N85*100</f>
        <v>77.91743339467155</v>
      </c>
      <c r="R85" s="28">
        <f>O85-8104.96</f>
        <v>-5183.290000000001</v>
      </c>
      <c r="S85" s="101">
        <f>O85/8104.96</f>
        <v>0.3604792620814908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688562.47</v>
      </c>
      <c r="F86" s="232">
        <f>F64+F85</f>
        <v>702172.49</v>
      </c>
      <c r="G86" s="233">
        <f>F86-E86</f>
        <v>13610.020000000019</v>
      </c>
      <c r="H86" s="234">
        <f>F86/E86*100</f>
        <v>101.97658463726611</v>
      </c>
      <c r="I86" s="235">
        <f>F86-D86</f>
        <v>-315980.2400000001</v>
      </c>
      <c r="J86" s="235">
        <f>F86/D86*100</f>
        <v>68.96533980712304</v>
      </c>
      <c r="K86" s="235">
        <f>K64+K85</f>
        <v>457297.61</v>
      </c>
      <c r="L86" s="235">
        <f>F86-K86</f>
        <v>244874.88</v>
      </c>
      <c r="M86" s="269">
        <f>F86/K86</f>
        <v>1.5354825274507777</v>
      </c>
      <c r="N86" s="233">
        <f>N64+N85</f>
        <v>152224.89999999997</v>
      </c>
      <c r="O86" s="233">
        <f>O64+O85</f>
        <v>98837.50999999997</v>
      </c>
      <c r="P86" s="235">
        <f t="shared" si="22"/>
        <v>-53387.39</v>
      </c>
      <c r="Q86" s="235">
        <f>O86/N86*100</f>
        <v>64.92860892009126</v>
      </c>
      <c r="R86" s="28">
        <f>O86-42872.96</f>
        <v>55964.54999999997</v>
      </c>
      <c r="S86" s="101">
        <f>O86/42872.96</f>
        <v>2.3053577359715764</v>
      </c>
      <c r="T86" s="186">
        <f t="shared" si="23"/>
        <v>329590.2600000001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28"/>
      <c r="H89" s="428"/>
      <c r="I89" s="428"/>
      <c r="J89" s="428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42613</v>
      </c>
      <c r="D90" s="31">
        <v>3902.6</v>
      </c>
      <c r="G90" s="4" t="s">
        <v>59</v>
      </c>
      <c r="O90" s="420"/>
      <c r="P90" s="420"/>
      <c r="T90" s="186">
        <f t="shared" si="23"/>
        <v>3902.6</v>
      </c>
    </row>
    <row r="91" spans="3:16" ht="15">
      <c r="C91" s="87">
        <v>42612</v>
      </c>
      <c r="D91" s="31">
        <v>10466.3</v>
      </c>
      <c r="F91" s="124" t="s">
        <v>59</v>
      </c>
      <c r="G91" s="414"/>
      <c r="H91" s="414"/>
      <c r="I91" s="131"/>
      <c r="J91" s="417"/>
      <c r="K91" s="417"/>
      <c r="L91" s="417"/>
      <c r="M91" s="417"/>
      <c r="N91" s="417"/>
      <c r="O91" s="420"/>
      <c r="P91" s="420"/>
    </row>
    <row r="92" spans="3:16" ht="15.75" customHeight="1">
      <c r="C92" s="87">
        <v>42611</v>
      </c>
      <c r="D92" s="31">
        <v>8603.9</v>
      </c>
      <c r="F92" s="73"/>
      <c r="G92" s="414"/>
      <c r="H92" s="414"/>
      <c r="I92" s="131"/>
      <c r="J92" s="421"/>
      <c r="K92" s="421"/>
      <c r="L92" s="421"/>
      <c r="M92" s="421"/>
      <c r="N92" s="421"/>
      <c r="O92" s="420"/>
      <c r="P92" s="420"/>
    </row>
    <row r="93" spans="3:14" ht="15.75" customHeight="1">
      <c r="C93" s="87"/>
      <c r="F93" s="73"/>
      <c r="G93" s="416"/>
      <c r="H93" s="416"/>
      <c r="I93" s="139"/>
      <c r="J93" s="417"/>
      <c r="K93" s="417"/>
      <c r="L93" s="417"/>
      <c r="M93" s="417"/>
      <c r="N93" s="417"/>
    </row>
    <row r="94" spans="2:14" ht="18.75" customHeight="1">
      <c r="B94" s="418" t="s">
        <v>57</v>
      </c>
      <c r="C94" s="419"/>
      <c r="D94" s="148">
        <f>'[1]залишки  (2)'!$G$6/1000</f>
        <v>969.84131</v>
      </c>
      <c r="E94" s="74"/>
      <c r="F94" s="140" t="s">
        <v>137</v>
      </c>
      <c r="G94" s="414"/>
      <c r="H94" s="414"/>
      <c r="I94" s="141"/>
      <c r="J94" s="417"/>
      <c r="K94" s="417"/>
      <c r="L94" s="417"/>
      <c r="M94" s="417"/>
      <c r="N94" s="417"/>
    </row>
    <row r="95" spans="6:13" ht="9.75" customHeight="1">
      <c r="F95" s="73"/>
      <c r="G95" s="414"/>
      <c r="H95" s="414"/>
      <c r="I95" s="73"/>
      <c r="J95" s="74"/>
      <c r="K95" s="74"/>
      <c r="L95" s="74"/>
      <c r="M95" s="74"/>
    </row>
    <row r="96" spans="2:13" ht="22.5" customHeight="1" hidden="1">
      <c r="B96" s="412" t="s">
        <v>60</v>
      </c>
      <c r="C96" s="413"/>
      <c r="D96" s="86">
        <v>0</v>
      </c>
      <c r="E96" s="56" t="s">
        <v>24</v>
      </c>
      <c r="F96" s="73"/>
      <c r="G96" s="414"/>
      <c r="H96" s="414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934</v>
      </c>
      <c r="F97" s="247">
        <f>F45+F48+F49</f>
        <v>511.81</v>
      </c>
      <c r="G97" s="73">
        <f>G45+G48+G49</f>
        <v>-422.19</v>
      </c>
      <c r="H97" s="74"/>
      <c r="I97" s="74"/>
      <c r="N97" s="31">
        <f>N45+N48+N49</f>
        <v>212</v>
      </c>
      <c r="O97" s="246">
        <f>O45+O48+O49</f>
        <v>137.51000000000002</v>
      </c>
      <c r="P97" s="31">
        <f>P45+P48+P49</f>
        <v>-74.49</v>
      </c>
    </row>
    <row r="98" spans="4:16" ht="15">
      <c r="D98" s="83"/>
      <c r="I98" s="31"/>
      <c r="O98" s="415"/>
      <c r="P98" s="415"/>
    </row>
    <row r="99" spans="15:16" ht="15">
      <c r="O99" s="414"/>
      <c r="P99" s="414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5748031496062992" right="0.15748031496062992" top="0" bottom="0" header="0" footer="0"/>
  <pageSetup fitToHeight="1" fitToWidth="1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2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7" sqref="O3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5" t="s">
        <v>188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92"/>
      <c r="S1" s="93"/>
    </row>
    <row r="2" spans="2:19" s="1" customFormat="1" ht="15.75" customHeight="1">
      <c r="B2" s="436"/>
      <c r="C2" s="436"/>
      <c r="D2" s="436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37"/>
      <c r="B3" s="439"/>
      <c r="C3" s="440" t="s">
        <v>0</v>
      </c>
      <c r="D3" s="441" t="s">
        <v>121</v>
      </c>
      <c r="E3" s="34"/>
      <c r="F3" s="442" t="s">
        <v>26</v>
      </c>
      <c r="G3" s="443"/>
      <c r="H3" s="443"/>
      <c r="I3" s="443"/>
      <c r="J3" s="444"/>
      <c r="K3" s="89"/>
      <c r="L3" s="89"/>
      <c r="M3" s="89"/>
      <c r="N3" s="445" t="s">
        <v>183</v>
      </c>
      <c r="O3" s="446" t="s">
        <v>184</v>
      </c>
      <c r="P3" s="446"/>
      <c r="Q3" s="446"/>
      <c r="R3" s="446"/>
      <c r="S3" s="446"/>
    </row>
    <row r="4" spans="1:19" ht="22.5" customHeight="1">
      <c r="A4" s="437"/>
      <c r="B4" s="439"/>
      <c r="C4" s="440"/>
      <c r="D4" s="441"/>
      <c r="E4" s="447" t="s">
        <v>179</v>
      </c>
      <c r="F4" s="429" t="s">
        <v>34</v>
      </c>
      <c r="G4" s="422" t="s">
        <v>180</v>
      </c>
      <c r="H4" s="431" t="s">
        <v>181</v>
      </c>
      <c r="I4" s="422" t="s">
        <v>122</v>
      </c>
      <c r="J4" s="431" t="s">
        <v>123</v>
      </c>
      <c r="K4" s="91" t="s">
        <v>186</v>
      </c>
      <c r="L4" s="249" t="s">
        <v>185</v>
      </c>
      <c r="M4" s="96" t="s">
        <v>64</v>
      </c>
      <c r="N4" s="431"/>
      <c r="O4" s="433" t="s">
        <v>189</v>
      </c>
      <c r="P4" s="422" t="s">
        <v>50</v>
      </c>
      <c r="Q4" s="424" t="s">
        <v>49</v>
      </c>
      <c r="R4" s="97" t="s">
        <v>65</v>
      </c>
      <c r="S4" s="98" t="s">
        <v>64</v>
      </c>
    </row>
    <row r="5" spans="1:19" ht="67.5" customHeight="1">
      <c r="A5" s="438"/>
      <c r="B5" s="439"/>
      <c r="C5" s="440"/>
      <c r="D5" s="441"/>
      <c r="E5" s="448"/>
      <c r="F5" s="430"/>
      <c r="G5" s="423"/>
      <c r="H5" s="432"/>
      <c r="I5" s="423"/>
      <c r="J5" s="432"/>
      <c r="K5" s="425" t="s">
        <v>182</v>
      </c>
      <c r="L5" s="426"/>
      <c r="M5" s="427"/>
      <c r="N5" s="432"/>
      <c r="O5" s="434"/>
      <c r="P5" s="423"/>
      <c r="Q5" s="424"/>
      <c r="R5" s="425" t="s">
        <v>120</v>
      </c>
      <c r="S5" s="427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733.83</v>
      </c>
      <c r="G59" s="202"/>
      <c r="H59" s="204"/>
      <c r="I59" s="205"/>
      <c r="J59" s="205"/>
      <c r="K59" s="206">
        <v>683.21</v>
      </c>
      <c r="L59" s="205">
        <f t="shared" si="24"/>
        <v>50.620000000000005</v>
      </c>
      <c r="M59" s="266">
        <f t="shared" si="25"/>
        <v>1.0740914213784927</v>
      </c>
      <c r="N59" s="236"/>
      <c r="O59" s="220">
        <f>F59-червень!F58</f>
        <v>141.57000000000005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28"/>
      <c r="H89" s="428"/>
      <c r="I89" s="428"/>
      <c r="J89" s="428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20"/>
      <c r="P90" s="420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14"/>
      <c r="H91" s="414"/>
      <c r="I91" s="131"/>
      <c r="J91" s="417"/>
      <c r="K91" s="417"/>
      <c r="L91" s="417"/>
      <c r="M91" s="417"/>
      <c r="N91" s="417"/>
      <c r="O91" s="420"/>
      <c r="P91" s="420"/>
    </row>
    <row r="92" spans="3:16" ht="15.75" customHeight="1">
      <c r="C92" s="87">
        <v>42578</v>
      </c>
      <c r="D92" s="31">
        <v>8357.1</v>
      </c>
      <c r="F92" s="73"/>
      <c r="G92" s="414"/>
      <c r="H92" s="414"/>
      <c r="I92" s="131"/>
      <c r="J92" s="421"/>
      <c r="K92" s="421"/>
      <c r="L92" s="421"/>
      <c r="M92" s="421"/>
      <c r="N92" s="421"/>
      <c r="O92" s="420"/>
      <c r="P92" s="420"/>
    </row>
    <row r="93" spans="3:14" ht="15.75" customHeight="1">
      <c r="C93" s="87"/>
      <c r="F93" s="73"/>
      <c r="G93" s="416"/>
      <c r="H93" s="416"/>
      <c r="I93" s="139"/>
      <c r="J93" s="417"/>
      <c r="K93" s="417"/>
      <c r="L93" s="417"/>
      <c r="M93" s="417"/>
      <c r="N93" s="417"/>
    </row>
    <row r="94" spans="2:14" ht="18.75" customHeight="1">
      <c r="B94" s="418" t="s">
        <v>57</v>
      </c>
      <c r="C94" s="419"/>
      <c r="D94" s="148">
        <v>14372.98265</v>
      </c>
      <c r="E94" s="74"/>
      <c r="F94" s="140" t="s">
        <v>137</v>
      </c>
      <c r="G94" s="414"/>
      <c r="H94" s="414"/>
      <c r="I94" s="141"/>
      <c r="J94" s="417"/>
      <c r="K94" s="417"/>
      <c r="L94" s="417"/>
      <c r="M94" s="417"/>
      <c r="N94" s="417"/>
    </row>
    <row r="95" spans="6:13" ht="9.75" customHeight="1" hidden="1">
      <c r="F95" s="73"/>
      <c r="G95" s="414"/>
      <c r="H95" s="414"/>
      <c r="I95" s="73"/>
      <c r="J95" s="74"/>
      <c r="K95" s="74"/>
      <c r="L95" s="74"/>
      <c r="M95" s="74"/>
    </row>
    <row r="96" spans="2:13" ht="22.5" customHeight="1" hidden="1">
      <c r="B96" s="412" t="s">
        <v>60</v>
      </c>
      <c r="C96" s="413"/>
      <c r="D96" s="86">
        <v>0</v>
      </c>
      <c r="E96" s="56" t="s">
        <v>24</v>
      </c>
      <c r="F96" s="73"/>
      <c r="G96" s="414"/>
      <c r="H96" s="414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15"/>
      <c r="P98" s="415"/>
    </row>
    <row r="99" spans="15:16" ht="15">
      <c r="O99" s="414"/>
      <c r="P99" s="414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1" sqref="F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1" t="s">
        <v>177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37"/>
      <c r="B3" s="439"/>
      <c r="C3" s="440" t="s">
        <v>0</v>
      </c>
      <c r="D3" s="441" t="s">
        <v>121</v>
      </c>
      <c r="E3" s="34"/>
      <c r="F3" s="442" t="s">
        <v>26</v>
      </c>
      <c r="G3" s="443"/>
      <c r="H3" s="443"/>
      <c r="I3" s="443"/>
      <c r="J3" s="444"/>
      <c r="K3" s="89"/>
      <c r="L3" s="89"/>
      <c r="M3" s="445" t="s">
        <v>172</v>
      </c>
      <c r="N3" s="424" t="s">
        <v>173</v>
      </c>
      <c r="O3" s="424"/>
      <c r="P3" s="424"/>
      <c r="Q3" s="424"/>
      <c r="R3" s="424"/>
    </row>
    <row r="4" spans="1:18" ht="22.5" customHeight="1">
      <c r="A4" s="437"/>
      <c r="B4" s="439"/>
      <c r="C4" s="440"/>
      <c r="D4" s="441"/>
      <c r="E4" s="447" t="s">
        <v>170</v>
      </c>
      <c r="F4" s="449" t="s">
        <v>34</v>
      </c>
      <c r="G4" s="422" t="s">
        <v>171</v>
      </c>
      <c r="H4" s="431" t="s">
        <v>175</v>
      </c>
      <c r="I4" s="422" t="s">
        <v>122</v>
      </c>
      <c r="J4" s="431" t="s">
        <v>123</v>
      </c>
      <c r="K4" s="248" t="s">
        <v>65</v>
      </c>
      <c r="L4" s="283" t="s">
        <v>64</v>
      </c>
      <c r="M4" s="431"/>
      <c r="N4" s="433" t="s">
        <v>178</v>
      </c>
      <c r="O4" s="422" t="s">
        <v>50</v>
      </c>
      <c r="P4" s="424" t="s">
        <v>49</v>
      </c>
      <c r="Q4" s="284" t="s">
        <v>65</v>
      </c>
      <c r="R4" s="285" t="s">
        <v>64</v>
      </c>
    </row>
    <row r="5" spans="1:18" ht="67.5" customHeight="1">
      <c r="A5" s="438"/>
      <c r="B5" s="439"/>
      <c r="C5" s="440"/>
      <c r="D5" s="441"/>
      <c r="E5" s="448"/>
      <c r="F5" s="450"/>
      <c r="G5" s="423"/>
      <c r="H5" s="432"/>
      <c r="I5" s="423"/>
      <c r="J5" s="432"/>
      <c r="K5" s="425" t="s">
        <v>174</v>
      </c>
      <c r="L5" s="427"/>
      <c r="M5" s="432"/>
      <c r="N5" s="434"/>
      <c r="O5" s="423"/>
      <c r="P5" s="424"/>
      <c r="Q5" s="425" t="s">
        <v>120</v>
      </c>
      <c r="R5" s="42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 hidden="1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 hidden="1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 hidden="1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 hidden="1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 hidden="1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f>591.66+0.6</f>
        <v>592.26</v>
      </c>
      <c r="G58" s="310"/>
      <c r="H58" s="311"/>
      <c r="I58" s="312"/>
      <c r="J58" s="312"/>
      <c r="K58" s="313">
        <f>F58-577.4</f>
        <v>14.860000000000014</v>
      </c>
      <c r="L58" s="313">
        <f>F58/577.4*100</f>
        <v>102.57360581918947</v>
      </c>
      <c r="M58" s="341"/>
      <c r="N58" s="342">
        <f>F58-травень!F58</f>
        <v>113.58999999999997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30.75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28"/>
      <c r="H88" s="428"/>
      <c r="I88" s="428"/>
      <c r="J88" s="428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20"/>
      <c r="O89" s="420"/>
    </row>
    <row r="90" spans="3:15" ht="15">
      <c r="C90" s="87">
        <v>42550</v>
      </c>
      <c r="D90" s="31">
        <v>11029.3</v>
      </c>
      <c r="F90" s="124" t="s">
        <v>59</v>
      </c>
      <c r="G90" s="414"/>
      <c r="H90" s="414"/>
      <c r="I90" s="131"/>
      <c r="J90" s="417"/>
      <c r="K90" s="417"/>
      <c r="L90" s="417"/>
      <c r="M90" s="417"/>
      <c r="N90" s="420"/>
      <c r="O90" s="420"/>
    </row>
    <row r="91" spans="3:15" ht="15.75" customHeight="1">
      <c r="C91" s="87">
        <v>42545</v>
      </c>
      <c r="D91" s="31">
        <v>6499.7</v>
      </c>
      <c r="F91" s="73"/>
      <c r="G91" s="414"/>
      <c r="H91" s="414"/>
      <c r="I91" s="131"/>
      <c r="J91" s="421"/>
      <c r="K91" s="421"/>
      <c r="L91" s="421"/>
      <c r="M91" s="421"/>
      <c r="N91" s="420"/>
      <c r="O91" s="420"/>
    </row>
    <row r="92" spans="3:13" ht="15.75" customHeight="1">
      <c r="C92" s="87"/>
      <c r="F92" s="73"/>
      <c r="G92" s="416"/>
      <c r="H92" s="416"/>
      <c r="I92" s="139"/>
      <c r="J92" s="417"/>
      <c r="K92" s="417"/>
      <c r="L92" s="417"/>
      <c r="M92" s="417"/>
    </row>
    <row r="93" spans="2:13" ht="18.75" customHeight="1">
      <c r="B93" s="418" t="s">
        <v>57</v>
      </c>
      <c r="C93" s="419"/>
      <c r="D93" s="148">
        <v>9447.89588</v>
      </c>
      <c r="E93" s="74"/>
      <c r="F93" s="140" t="s">
        <v>137</v>
      </c>
      <c r="G93" s="414"/>
      <c r="H93" s="414"/>
      <c r="I93" s="141"/>
      <c r="J93" s="417"/>
      <c r="K93" s="417"/>
      <c r="L93" s="417"/>
      <c r="M93" s="417"/>
    </row>
    <row r="94" spans="6:12" ht="9.75" customHeight="1">
      <c r="F94" s="73"/>
      <c r="G94" s="414"/>
      <c r="H94" s="414"/>
      <c r="I94" s="73"/>
      <c r="J94" s="74"/>
      <c r="K94" s="74"/>
      <c r="L94" s="74"/>
    </row>
    <row r="95" spans="2:12" ht="22.5" customHeight="1">
      <c r="B95" s="412" t="s">
        <v>60</v>
      </c>
      <c r="C95" s="413"/>
      <c r="D95" s="86">
        <v>0</v>
      </c>
      <c r="E95" s="56" t="s">
        <v>24</v>
      </c>
      <c r="F95" s="73"/>
      <c r="G95" s="414"/>
      <c r="H95" s="414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15"/>
      <c r="O97" s="415"/>
    </row>
    <row r="98" spans="14:15" ht="15">
      <c r="N98" s="414"/>
      <c r="O98" s="414"/>
    </row>
    <row r="99" ht="15">
      <c r="N99" s="31"/>
    </row>
    <row r="102" ht="15">
      <c r="E102" s="4" t="s">
        <v>59</v>
      </c>
    </row>
  </sheetData>
  <sheetProtection/>
  <mergeCells count="37">
    <mergeCell ref="N98:O98"/>
    <mergeCell ref="G92:H92"/>
    <mergeCell ref="J92:M92"/>
    <mergeCell ref="B93:C93"/>
    <mergeCell ref="G93:H93"/>
    <mergeCell ref="J93:M93"/>
    <mergeCell ref="G94:H94"/>
    <mergeCell ref="G91:H91"/>
    <mergeCell ref="J91:M91"/>
    <mergeCell ref="N91:O91"/>
    <mergeCell ref="B95:C95"/>
    <mergeCell ref="G95:H95"/>
    <mergeCell ref="N97:O97"/>
    <mergeCell ref="G88:J88"/>
    <mergeCell ref="N89:O89"/>
    <mergeCell ref="G90:H90"/>
    <mergeCell ref="J90:M90"/>
    <mergeCell ref="N90:O90"/>
    <mergeCell ref="G4:G5"/>
    <mergeCell ref="H4:H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Q5:R5"/>
    <mergeCell ref="E4:E5"/>
    <mergeCell ref="F4:F5"/>
    <mergeCell ref="I4:I5"/>
    <mergeCell ref="J4:J5"/>
    <mergeCell ref="N4:N5"/>
    <mergeCell ref="O4:O5"/>
  </mergeCells>
  <printOptions/>
  <pageMargins left="0.1968503937007874" right="0.1968503937007874" top="0.1968503937007874" bottom="0.1968503937007874" header="0" footer="0"/>
  <pageSetup fitToHeight="1" fitToWidth="1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30" sqref="G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5" t="s">
        <v>168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92"/>
      <c r="R1" s="93"/>
    </row>
    <row r="2" spans="2:18" s="1" customFormat="1" ht="15.75" customHeight="1">
      <c r="B2" s="452"/>
      <c r="C2" s="452"/>
      <c r="D2" s="452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7"/>
      <c r="B3" s="439"/>
      <c r="C3" s="440" t="s">
        <v>0</v>
      </c>
      <c r="D3" s="441" t="s">
        <v>121</v>
      </c>
      <c r="E3" s="34"/>
      <c r="F3" s="442" t="s">
        <v>26</v>
      </c>
      <c r="G3" s="443"/>
      <c r="H3" s="443"/>
      <c r="I3" s="443"/>
      <c r="J3" s="444"/>
      <c r="K3" s="89"/>
      <c r="L3" s="89"/>
      <c r="M3" s="445" t="s">
        <v>162</v>
      </c>
      <c r="N3" s="446" t="s">
        <v>163</v>
      </c>
      <c r="O3" s="446"/>
      <c r="P3" s="446"/>
      <c r="Q3" s="446"/>
      <c r="R3" s="446"/>
    </row>
    <row r="4" spans="1:18" ht="22.5" customHeight="1">
      <c r="A4" s="437"/>
      <c r="B4" s="439"/>
      <c r="C4" s="440"/>
      <c r="D4" s="441"/>
      <c r="E4" s="447" t="s">
        <v>158</v>
      </c>
      <c r="F4" s="453" t="s">
        <v>34</v>
      </c>
      <c r="G4" s="422" t="s">
        <v>159</v>
      </c>
      <c r="H4" s="431" t="s">
        <v>160</v>
      </c>
      <c r="I4" s="422" t="s">
        <v>122</v>
      </c>
      <c r="J4" s="431" t="s">
        <v>123</v>
      </c>
      <c r="K4" s="91" t="s">
        <v>65</v>
      </c>
      <c r="L4" s="96" t="s">
        <v>64</v>
      </c>
      <c r="M4" s="431"/>
      <c r="N4" s="433" t="s">
        <v>169</v>
      </c>
      <c r="O4" s="422" t="s">
        <v>50</v>
      </c>
      <c r="P4" s="424" t="s">
        <v>49</v>
      </c>
      <c r="Q4" s="97" t="s">
        <v>65</v>
      </c>
      <c r="R4" s="98" t="s">
        <v>64</v>
      </c>
    </row>
    <row r="5" spans="1:18" ht="78.75" customHeight="1">
      <c r="A5" s="438"/>
      <c r="B5" s="439"/>
      <c r="C5" s="440"/>
      <c r="D5" s="441"/>
      <c r="E5" s="448"/>
      <c r="F5" s="454"/>
      <c r="G5" s="423"/>
      <c r="H5" s="432"/>
      <c r="I5" s="423"/>
      <c r="J5" s="432"/>
      <c r="K5" s="425" t="s">
        <v>161</v>
      </c>
      <c r="L5" s="427"/>
      <c r="M5" s="432"/>
      <c r="N5" s="434"/>
      <c r="O5" s="423"/>
      <c r="P5" s="424"/>
      <c r="Q5" s="425" t="s">
        <v>120</v>
      </c>
      <c r="R5" s="42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28"/>
      <c r="H88" s="428"/>
      <c r="I88" s="428"/>
      <c r="J88" s="428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20"/>
      <c r="O89" s="420"/>
    </row>
    <row r="90" spans="3:15" ht="15">
      <c r="C90" s="87">
        <v>42520</v>
      </c>
      <c r="D90" s="31">
        <v>8891</v>
      </c>
      <c r="F90" s="124" t="s">
        <v>59</v>
      </c>
      <c r="G90" s="414"/>
      <c r="H90" s="414"/>
      <c r="I90" s="131"/>
      <c r="J90" s="417"/>
      <c r="K90" s="417"/>
      <c r="L90" s="417"/>
      <c r="M90" s="417"/>
      <c r="N90" s="420"/>
      <c r="O90" s="420"/>
    </row>
    <row r="91" spans="3:15" ht="15.75" customHeight="1">
      <c r="C91" s="87">
        <v>42517</v>
      </c>
      <c r="D91" s="31">
        <v>7356.3</v>
      </c>
      <c r="F91" s="73"/>
      <c r="G91" s="414"/>
      <c r="H91" s="414"/>
      <c r="I91" s="131"/>
      <c r="J91" s="421"/>
      <c r="K91" s="421"/>
      <c r="L91" s="421"/>
      <c r="M91" s="421"/>
      <c r="N91" s="420"/>
      <c r="O91" s="420"/>
    </row>
    <row r="92" spans="3:13" ht="15.75" customHeight="1">
      <c r="C92" s="87"/>
      <c r="F92" s="73"/>
      <c r="G92" s="416"/>
      <c r="H92" s="416"/>
      <c r="I92" s="139"/>
      <c r="J92" s="417"/>
      <c r="K92" s="417"/>
      <c r="L92" s="417"/>
      <c r="M92" s="417"/>
    </row>
    <row r="93" spans="2:13" ht="18.75" customHeight="1">
      <c r="B93" s="418" t="s">
        <v>57</v>
      </c>
      <c r="C93" s="419"/>
      <c r="D93" s="148">
        <v>2811.04042</v>
      </c>
      <c r="E93" s="74"/>
      <c r="F93" s="140" t="s">
        <v>137</v>
      </c>
      <c r="G93" s="414"/>
      <c r="H93" s="414"/>
      <c r="I93" s="141"/>
      <c r="J93" s="417"/>
      <c r="K93" s="417"/>
      <c r="L93" s="417"/>
      <c r="M93" s="417"/>
    </row>
    <row r="94" spans="6:12" ht="9.75" customHeight="1">
      <c r="F94" s="73"/>
      <c r="G94" s="414"/>
      <c r="H94" s="414"/>
      <c r="I94" s="73"/>
      <c r="J94" s="74"/>
      <c r="K94" s="74"/>
      <c r="L94" s="74"/>
    </row>
    <row r="95" spans="2:12" ht="22.5" customHeight="1">
      <c r="B95" s="412" t="s">
        <v>60</v>
      </c>
      <c r="C95" s="413"/>
      <c r="D95" s="86">
        <v>0</v>
      </c>
      <c r="E95" s="56" t="s">
        <v>24</v>
      </c>
      <c r="F95" s="73"/>
      <c r="G95" s="414"/>
      <c r="H95" s="414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15"/>
      <c r="O97" s="415"/>
    </row>
    <row r="98" spans="14:15" ht="15">
      <c r="N98" s="414"/>
      <c r="O98" s="414"/>
    </row>
    <row r="102" ht="15">
      <c r="E102" s="4" t="s">
        <v>59</v>
      </c>
    </row>
  </sheetData>
  <sheetProtection/>
  <mergeCells count="38"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  <mergeCell ref="G90:H90"/>
    <mergeCell ref="J90:M90"/>
    <mergeCell ref="N90:O90"/>
    <mergeCell ref="G91:H91"/>
    <mergeCell ref="J91:M91"/>
    <mergeCell ref="N91:O91"/>
    <mergeCell ref="O4:O5"/>
    <mergeCell ref="P4:P5"/>
    <mergeCell ref="K5:L5"/>
    <mergeCell ref="Q5:R5"/>
    <mergeCell ref="G88:J88"/>
    <mergeCell ref="N89:O89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5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27" sqref="N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5" t="s">
        <v>156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92"/>
      <c r="R1" s="93"/>
    </row>
    <row r="2" spans="2:18" s="1" customFormat="1" ht="15.75" customHeight="1">
      <c r="B2" s="452"/>
      <c r="C2" s="452"/>
      <c r="D2" s="452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7"/>
      <c r="B3" s="439"/>
      <c r="C3" s="440" t="s">
        <v>0</v>
      </c>
      <c r="D3" s="441" t="s">
        <v>121</v>
      </c>
      <c r="E3" s="34"/>
      <c r="F3" s="442" t="s">
        <v>26</v>
      </c>
      <c r="G3" s="443"/>
      <c r="H3" s="443"/>
      <c r="I3" s="443"/>
      <c r="J3" s="444"/>
      <c r="K3" s="89"/>
      <c r="L3" s="89"/>
      <c r="M3" s="445" t="s">
        <v>153</v>
      </c>
      <c r="N3" s="446" t="s">
        <v>154</v>
      </c>
      <c r="O3" s="446"/>
      <c r="P3" s="446"/>
      <c r="Q3" s="446"/>
      <c r="R3" s="446"/>
    </row>
    <row r="4" spans="1:18" ht="22.5" customHeight="1">
      <c r="A4" s="437"/>
      <c r="B4" s="439"/>
      <c r="C4" s="440"/>
      <c r="D4" s="441"/>
      <c r="E4" s="447" t="s">
        <v>150</v>
      </c>
      <c r="F4" s="453" t="s">
        <v>34</v>
      </c>
      <c r="G4" s="422" t="s">
        <v>151</v>
      </c>
      <c r="H4" s="431" t="s">
        <v>152</v>
      </c>
      <c r="I4" s="422" t="s">
        <v>122</v>
      </c>
      <c r="J4" s="431" t="s">
        <v>123</v>
      </c>
      <c r="K4" s="91" t="s">
        <v>65</v>
      </c>
      <c r="L4" s="96" t="s">
        <v>64</v>
      </c>
      <c r="M4" s="431"/>
      <c r="N4" s="433" t="s">
        <v>157</v>
      </c>
      <c r="O4" s="422" t="s">
        <v>50</v>
      </c>
      <c r="P4" s="424" t="s">
        <v>49</v>
      </c>
      <c r="Q4" s="97" t="s">
        <v>65</v>
      </c>
      <c r="R4" s="98" t="s">
        <v>64</v>
      </c>
    </row>
    <row r="5" spans="1:18" ht="78.75" customHeight="1">
      <c r="A5" s="438"/>
      <c r="B5" s="439"/>
      <c r="C5" s="440"/>
      <c r="D5" s="441"/>
      <c r="E5" s="448"/>
      <c r="F5" s="454"/>
      <c r="G5" s="423"/>
      <c r="H5" s="432"/>
      <c r="I5" s="423"/>
      <c r="J5" s="432"/>
      <c r="K5" s="425" t="s">
        <v>155</v>
      </c>
      <c r="L5" s="427"/>
      <c r="M5" s="432"/>
      <c r="N5" s="434"/>
      <c r="O5" s="423"/>
      <c r="P5" s="424"/>
      <c r="Q5" s="425" t="s">
        <v>120</v>
      </c>
      <c r="R5" s="42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28"/>
      <c r="H84" s="428"/>
      <c r="I84" s="428"/>
      <c r="J84" s="428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20"/>
      <c r="O85" s="420"/>
    </row>
    <row r="86" spans="3:15" ht="15">
      <c r="C86" s="87">
        <v>42488</v>
      </c>
      <c r="D86" s="31">
        <v>11419.7</v>
      </c>
      <c r="F86" s="124" t="s">
        <v>59</v>
      </c>
      <c r="G86" s="414"/>
      <c r="H86" s="414"/>
      <c r="I86" s="131"/>
      <c r="J86" s="417"/>
      <c r="K86" s="417"/>
      <c r="L86" s="417"/>
      <c r="M86" s="417"/>
      <c r="N86" s="420"/>
      <c r="O86" s="420"/>
    </row>
    <row r="87" spans="3:15" ht="15.75" customHeight="1">
      <c r="C87" s="87">
        <v>42487</v>
      </c>
      <c r="D87" s="31">
        <v>7800.7</v>
      </c>
      <c r="F87" s="73"/>
      <c r="G87" s="414"/>
      <c r="H87" s="414"/>
      <c r="I87" s="131"/>
      <c r="J87" s="421"/>
      <c r="K87" s="421"/>
      <c r="L87" s="421"/>
      <c r="M87" s="421"/>
      <c r="N87" s="420"/>
      <c r="O87" s="420"/>
    </row>
    <row r="88" spans="3:13" ht="15.75" customHeight="1">
      <c r="C88" s="87"/>
      <c r="F88" s="73"/>
      <c r="G88" s="416"/>
      <c r="H88" s="416"/>
      <c r="I88" s="139"/>
      <c r="J88" s="417"/>
      <c r="K88" s="417"/>
      <c r="L88" s="417"/>
      <c r="M88" s="417"/>
    </row>
    <row r="89" spans="2:13" ht="18.75" customHeight="1">
      <c r="B89" s="418" t="s">
        <v>57</v>
      </c>
      <c r="C89" s="419"/>
      <c r="D89" s="148">
        <v>9087.9705</v>
      </c>
      <c r="E89" s="74"/>
      <c r="F89" s="140" t="s">
        <v>137</v>
      </c>
      <c r="G89" s="414"/>
      <c r="H89" s="414"/>
      <c r="I89" s="141"/>
      <c r="J89" s="417"/>
      <c r="K89" s="417"/>
      <c r="L89" s="417"/>
      <c r="M89" s="417"/>
    </row>
    <row r="90" spans="6:12" ht="9.75" customHeight="1">
      <c r="F90" s="73"/>
      <c r="G90" s="414"/>
      <c r="H90" s="414"/>
      <c r="I90" s="73"/>
      <c r="J90" s="74"/>
      <c r="K90" s="74"/>
      <c r="L90" s="74"/>
    </row>
    <row r="91" spans="2:12" ht="22.5" customHeight="1" hidden="1">
      <c r="B91" s="412" t="s">
        <v>60</v>
      </c>
      <c r="C91" s="413"/>
      <c r="D91" s="86">
        <v>0</v>
      </c>
      <c r="E91" s="56" t="s">
        <v>24</v>
      </c>
      <c r="F91" s="73"/>
      <c r="G91" s="414"/>
      <c r="H91" s="414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14"/>
      <c r="O92" s="414"/>
    </row>
    <row r="93" spans="4:15" ht="15">
      <c r="D93" s="83"/>
      <c r="I93" s="31"/>
      <c r="N93" s="415"/>
      <c r="O93" s="415"/>
    </row>
    <row r="94" spans="14:15" ht="15">
      <c r="N94" s="414"/>
      <c r="O94" s="414"/>
    </row>
    <row r="98" ht="15">
      <c r="E98" s="4" t="s">
        <v>59</v>
      </c>
    </row>
  </sheetData>
  <sheetProtection/>
  <mergeCells count="39"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  <mergeCell ref="G90:H90"/>
    <mergeCell ref="G86:H86"/>
    <mergeCell ref="J86:M86"/>
    <mergeCell ref="N86:O86"/>
    <mergeCell ref="G87:H87"/>
    <mergeCell ref="J87:M87"/>
    <mergeCell ref="N87:O87"/>
    <mergeCell ref="O4:O5"/>
    <mergeCell ref="P4:P5"/>
    <mergeCell ref="K5:L5"/>
    <mergeCell ref="Q5:R5"/>
    <mergeCell ref="G84:J84"/>
    <mergeCell ref="N85:O85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3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5" t="s">
        <v>148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92"/>
      <c r="R1" s="93"/>
    </row>
    <row r="2" spans="2:18" s="1" customFormat="1" ht="15.75" customHeight="1">
      <c r="B2" s="452"/>
      <c r="C2" s="452"/>
      <c r="D2" s="452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7"/>
      <c r="B3" s="439"/>
      <c r="C3" s="440" t="s">
        <v>0</v>
      </c>
      <c r="D3" s="441" t="s">
        <v>121</v>
      </c>
      <c r="E3" s="34"/>
      <c r="F3" s="442" t="s">
        <v>26</v>
      </c>
      <c r="G3" s="443"/>
      <c r="H3" s="443"/>
      <c r="I3" s="443"/>
      <c r="J3" s="444"/>
      <c r="K3" s="89"/>
      <c r="L3" s="89"/>
      <c r="M3" s="445" t="s">
        <v>147</v>
      </c>
      <c r="N3" s="446" t="s">
        <v>143</v>
      </c>
      <c r="O3" s="446"/>
      <c r="P3" s="446"/>
      <c r="Q3" s="446"/>
      <c r="R3" s="446"/>
    </row>
    <row r="4" spans="1:18" ht="22.5" customHeight="1">
      <c r="A4" s="437"/>
      <c r="B4" s="439"/>
      <c r="C4" s="440"/>
      <c r="D4" s="441"/>
      <c r="E4" s="447" t="s">
        <v>146</v>
      </c>
      <c r="F4" s="453" t="s">
        <v>34</v>
      </c>
      <c r="G4" s="422" t="s">
        <v>141</v>
      </c>
      <c r="H4" s="431" t="s">
        <v>142</v>
      </c>
      <c r="I4" s="422" t="s">
        <v>122</v>
      </c>
      <c r="J4" s="431" t="s">
        <v>123</v>
      </c>
      <c r="K4" s="91" t="s">
        <v>65</v>
      </c>
      <c r="L4" s="96" t="s">
        <v>64</v>
      </c>
      <c r="M4" s="431"/>
      <c r="N4" s="433" t="s">
        <v>149</v>
      </c>
      <c r="O4" s="422" t="s">
        <v>50</v>
      </c>
      <c r="P4" s="424" t="s">
        <v>49</v>
      </c>
      <c r="Q4" s="97" t="s">
        <v>65</v>
      </c>
      <c r="R4" s="98" t="s">
        <v>64</v>
      </c>
    </row>
    <row r="5" spans="1:18" ht="78.75" customHeight="1">
      <c r="A5" s="438"/>
      <c r="B5" s="439"/>
      <c r="C5" s="440"/>
      <c r="D5" s="441"/>
      <c r="E5" s="448"/>
      <c r="F5" s="454"/>
      <c r="G5" s="423"/>
      <c r="H5" s="432"/>
      <c r="I5" s="423"/>
      <c r="J5" s="432"/>
      <c r="K5" s="425" t="s">
        <v>144</v>
      </c>
      <c r="L5" s="427"/>
      <c r="M5" s="432"/>
      <c r="N5" s="434"/>
      <c r="O5" s="423"/>
      <c r="P5" s="424"/>
      <c r="Q5" s="425" t="s">
        <v>120</v>
      </c>
      <c r="R5" s="42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28"/>
      <c r="H83" s="428"/>
      <c r="I83" s="428"/>
      <c r="J83" s="428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20"/>
      <c r="O84" s="420"/>
    </row>
    <row r="85" spans="3:15" ht="15">
      <c r="C85" s="87">
        <v>42459</v>
      </c>
      <c r="D85" s="31">
        <v>7576.3</v>
      </c>
      <c r="F85" s="124" t="s">
        <v>59</v>
      </c>
      <c r="G85" s="414"/>
      <c r="H85" s="414"/>
      <c r="I85" s="131"/>
      <c r="J85" s="417"/>
      <c r="K85" s="417"/>
      <c r="L85" s="417"/>
      <c r="M85" s="417"/>
      <c r="N85" s="420"/>
      <c r="O85" s="420"/>
    </row>
    <row r="86" spans="3:15" ht="15.75" customHeight="1">
      <c r="C86" s="87">
        <v>42458</v>
      </c>
      <c r="D86" s="31">
        <v>9190.1</v>
      </c>
      <c r="F86" s="73"/>
      <c r="G86" s="414"/>
      <c r="H86" s="414"/>
      <c r="I86" s="131"/>
      <c r="J86" s="421"/>
      <c r="K86" s="421"/>
      <c r="L86" s="421"/>
      <c r="M86" s="421"/>
      <c r="N86" s="420"/>
      <c r="O86" s="420"/>
    </row>
    <row r="87" spans="3:13" ht="15.75" customHeight="1">
      <c r="C87" s="87"/>
      <c r="F87" s="73"/>
      <c r="G87" s="416"/>
      <c r="H87" s="416"/>
      <c r="I87" s="139"/>
      <c r="J87" s="417"/>
      <c r="K87" s="417"/>
      <c r="L87" s="417"/>
      <c r="M87" s="417"/>
    </row>
    <row r="88" spans="2:13" ht="18.75" customHeight="1">
      <c r="B88" s="418" t="s">
        <v>57</v>
      </c>
      <c r="C88" s="419"/>
      <c r="D88" s="148">
        <f>4343.7</f>
        <v>4343.7</v>
      </c>
      <c r="E88" s="74"/>
      <c r="F88" s="140" t="s">
        <v>137</v>
      </c>
      <c r="G88" s="414"/>
      <c r="H88" s="414"/>
      <c r="I88" s="141"/>
      <c r="J88" s="417"/>
      <c r="K88" s="417"/>
      <c r="L88" s="417"/>
      <c r="M88" s="417"/>
    </row>
    <row r="89" spans="6:12" ht="9.75" customHeight="1">
      <c r="F89" s="73"/>
      <c r="G89" s="414"/>
      <c r="H89" s="414"/>
      <c r="I89" s="73"/>
      <c r="J89" s="74"/>
      <c r="K89" s="74"/>
      <c r="L89" s="74"/>
    </row>
    <row r="90" spans="2:12" ht="22.5" customHeight="1" hidden="1">
      <c r="B90" s="412" t="s">
        <v>60</v>
      </c>
      <c r="C90" s="413"/>
      <c r="D90" s="86">
        <v>0</v>
      </c>
      <c r="E90" s="56" t="s">
        <v>24</v>
      </c>
      <c r="F90" s="73"/>
      <c r="G90" s="414"/>
      <c r="H90" s="41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4"/>
      <c r="O91" s="414"/>
    </row>
    <row r="92" spans="4:15" ht="15">
      <c r="D92" s="83"/>
      <c r="I92" s="31"/>
      <c r="N92" s="415"/>
      <c r="O92" s="415"/>
    </row>
    <row r="93" spans="14:15" ht="15">
      <c r="N93" s="414"/>
      <c r="O93" s="414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P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5" t="s">
        <v>139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92"/>
      <c r="R1" s="93"/>
    </row>
    <row r="2" spans="2:18" s="1" customFormat="1" ht="15.75" customHeight="1">
      <c r="B2" s="452"/>
      <c r="C2" s="452"/>
      <c r="D2" s="452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7"/>
      <c r="B3" s="439"/>
      <c r="C3" s="440" t="s">
        <v>0</v>
      </c>
      <c r="D3" s="441" t="s">
        <v>121</v>
      </c>
      <c r="E3" s="34"/>
      <c r="F3" s="442" t="s">
        <v>26</v>
      </c>
      <c r="G3" s="443"/>
      <c r="H3" s="443"/>
      <c r="I3" s="443"/>
      <c r="J3" s="444"/>
      <c r="K3" s="89"/>
      <c r="L3" s="89"/>
      <c r="M3" s="455" t="s">
        <v>128</v>
      </c>
      <c r="N3" s="446" t="s">
        <v>119</v>
      </c>
      <c r="O3" s="446"/>
      <c r="P3" s="446"/>
      <c r="Q3" s="446"/>
      <c r="R3" s="446"/>
    </row>
    <row r="4" spans="1:18" ht="22.5" customHeight="1">
      <c r="A4" s="437"/>
      <c r="B4" s="439"/>
      <c r="C4" s="440"/>
      <c r="D4" s="441"/>
      <c r="E4" s="447" t="s">
        <v>127</v>
      </c>
      <c r="F4" s="453" t="s">
        <v>34</v>
      </c>
      <c r="G4" s="422" t="s">
        <v>116</v>
      </c>
      <c r="H4" s="431" t="s">
        <v>117</v>
      </c>
      <c r="I4" s="422" t="s">
        <v>122</v>
      </c>
      <c r="J4" s="431" t="s">
        <v>123</v>
      </c>
      <c r="K4" s="91" t="s">
        <v>65</v>
      </c>
      <c r="L4" s="96" t="s">
        <v>64</v>
      </c>
      <c r="M4" s="431"/>
      <c r="N4" s="433" t="s">
        <v>140</v>
      </c>
      <c r="O4" s="422" t="s">
        <v>50</v>
      </c>
      <c r="P4" s="424" t="s">
        <v>49</v>
      </c>
      <c r="Q4" s="97" t="s">
        <v>65</v>
      </c>
      <c r="R4" s="98" t="s">
        <v>64</v>
      </c>
    </row>
    <row r="5" spans="1:18" ht="92.25" customHeight="1">
      <c r="A5" s="438"/>
      <c r="B5" s="439"/>
      <c r="C5" s="440"/>
      <c r="D5" s="441"/>
      <c r="E5" s="448"/>
      <c r="F5" s="454"/>
      <c r="G5" s="423"/>
      <c r="H5" s="432"/>
      <c r="I5" s="423"/>
      <c r="J5" s="432"/>
      <c r="K5" s="425" t="s">
        <v>118</v>
      </c>
      <c r="L5" s="427"/>
      <c r="M5" s="432"/>
      <c r="N5" s="434"/>
      <c r="O5" s="423"/>
      <c r="P5" s="424"/>
      <c r="Q5" s="425" t="s">
        <v>120</v>
      </c>
      <c r="R5" s="42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28"/>
      <c r="H83" s="428"/>
      <c r="I83" s="428"/>
      <c r="J83" s="428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20"/>
      <c r="O84" s="420"/>
    </row>
    <row r="85" spans="3:15" ht="15">
      <c r="C85" s="87">
        <v>42426</v>
      </c>
      <c r="D85" s="31">
        <v>6256.2</v>
      </c>
      <c r="F85" s="124" t="s">
        <v>59</v>
      </c>
      <c r="G85" s="414"/>
      <c r="H85" s="414"/>
      <c r="I85" s="131"/>
      <c r="J85" s="417"/>
      <c r="K85" s="417"/>
      <c r="L85" s="417"/>
      <c r="M85" s="417"/>
      <c r="N85" s="420"/>
      <c r="O85" s="420"/>
    </row>
    <row r="86" spans="3:15" ht="15.75" customHeight="1">
      <c r="C86" s="87">
        <v>42425</v>
      </c>
      <c r="D86" s="31">
        <v>3536.9</v>
      </c>
      <c r="F86" s="73"/>
      <c r="G86" s="414"/>
      <c r="H86" s="414"/>
      <c r="I86" s="131"/>
      <c r="J86" s="421"/>
      <c r="K86" s="421"/>
      <c r="L86" s="421"/>
      <c r="M86" s="421"/>
      <c r="N86" s="420"/>
      <c r="O86" s="420"/>
    </row>
    <row r="87" spans="3:13" ht="15.75" customHeight="1">
      <c r="C87" s="87"/>
      <c r="F87" s="73"/>
      <c r="G87" s="416"/>
      <c r="H87" s="416"/>
      <c r="I87" s="139"/>
      <c r="J87" s="417"/>
      <c r="K87" s="417"/>
      <c r="L87" s="417"/>
      <c r="M87" s="417"/>
    </row>
    <row r="88" spans="2:13" ht="18.75" customHeight="1">
      <c r="B88" s="418" t="s">
        <v>57</v>
      </c>
      <c r="C88" s="419"/>
      <c r="D88" s="148">
        <v>505.3</v>
      </c>
      <c r="E88" s="74"/>
      <c r="F88" s="140" t="s">
        <v>137</v>
      </c>
      <c r="G88" s="414"/>
      <c r="H88" s="414"/>
      <c r="I88" s="141"/>
      <c r="J88" s="417"/>
      <c r="K88" s="417"/>
      <c r="L88" s="417"/>
      <c r="M88" s="417"/>
    </row>
    <row r="89" spans="6:12" ht="9.75" customHeight="1">
      <c r="F89" s="73"/>
      <c r="G89" s="414"/>
      <c r="H89" s="414"/>
      <c r="I89" s="73"/>
      <c r="J89" s="74"/>
      <c r="K89" s="74"/>
      <c r="L89" s="74"/>
    </row>
    <row r="90" spans="2:12" ht="22.5" customHeight="1" hidden="1">
      <c r="B90" s="412" t="s">
        <v>60</v>
      </c>
      <c r="C90" s="413"/>
      <c r="D90" s="86">
        <v>0</v>
      </c>
      <c r="E90" s="56" t="s">
        <v>24</v>
      </c>
      <c r="F90" s="73"/>
      <c r="G90" s="414"/>
      <c r="H90" s="41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4"/>
      <c r="O91" s="414"/>
    </row>
    <row r="92" spans="4:15" ht="15">
      <c r="D92" s="83"/>
      <c r="I92" s="31"/>
      <c r="N92" s="415"/>
      <c r="O92" s="415"/>
    </row>
    <row r="93" spans="14:15" ht="15">
      <c r="N93" s="414"/>
      <c r="O93" s="414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5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5" t="s">
        <v>114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92"/>
      <c r="R1" s="93"/>
    </row>
    <row r="2" spans="2:18" s="1" customFormat="1" ht="15.75" customHeight="1">
      <c r="B2" s="452"/>
      <c r="C2" s="452"/>
      <c r="D2" s="452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7"/>
      <c r="B3" s="439" t="s">
        <v>135</v>
      </c>
      <c r="C3" s="440" t="s">
        <v>0</v>
      </c>
      <c r="D3" s="441" t="s">
        <v>121</v>
      </c>
      <c r="E3" s="34"/>
      <c r="F3" s="442" t="s">
        <v>26</v>
      </c>
      <c r="G3" s="443"/>
      <c r="H3" s="443"/>
      <c r="I3" s="443"/>
      <c r="J3" s="444"/>
      <c r="K3" s="89"/>
      <c r="L3" s="89"/>
      <c r="M3" s="455" t="s">
        <v>132</v>
      </c>
      <c r="N3" s="446" t="s">
        <v>66</v>
      </c>
      <c r="O3" s="446"/>
      <c r="P3" s="446"/>
      <c r="Q3" s="446"/>
      <c r="R3" s="446"/>
    </row>
    <row r="4" spans="1:18" ht="22.5" customHeight="1">
      <c r="A4" s="437"/>
      <c r="B4" s="439"/>
      <c r="C4" s="440"/>
      <c r="D4" s="441"/>
      <c r="E4" s="447" t="s">
        <v>129</v>
      </c>
      <c r="F4" s="453" t="s">
        <v>34</v>
      </c>
      <c r="G4" s="422" t="s">
        <v>130</v>
      </c>
      <c r="H4" s="431" t="s">
        <v>131</v>
      </c>
      <c r="I4" s="422" t="s">
        <v>122</v>
      </c>
      <c r="J4" s="431" t="s">
        <v>123</v>
      </c>
      <c r="K4" s="91" t="s">
        <v>65</v>
      </c>
      <c r="L4" s="96" t="s">
        <v>64</v>
      </c>
      <c r="M4" s="431"/>
      <c r="N4" s="456" t="s">
        <v>133</v>
      </c>
      <c r="O4" s="422" t="s">
        <v>50</v>
      </c>
      <c r="P4" s="424" t="s">
        <v>49</v>
      </c>
      <c r="Q4" s="97" t="s">
        <v>65</v>
      </c>
      <c r="R4" s="98" t="s">
        <v>64</v>
      </c>
    </row>
    <row r="5" spans="1:18" ht="92.25" customHeight="1">
      <c r="A5" s="438"/>
      <c r="B5" s="439"/>
      <c r="C5" s="440"/>
      <c r="D5" s="441"/>
      <c r="E5" s="448"/>
      <c r="F5" s="454"/>
      <c r="G5" s="423"/>
      <c r="H5" s="432"/>
      <c r="I5" s="423"/>
      <c r="J5" s="432"/>
      <c r="K5" s="425" t="s">
        <v>134</v>
      </c>
      <c r="L5" s="427"/>
      <c r="M5" s="432"/>
      <c r="N5" s="457"/>
      <c r="O5" s="423"/>
      <c r="P5" s="424"/>
      <c r="Q5" s="425" t="s">
        <v>120</v>
      </c>
      <c r="R5" s="42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28"/>
      <c r="H83" s="428"/>
      <c r="I83" s="428"/>
      <c r="J83" s="428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20"/>
      <c r="O84" s="420"/>
    </row>
    <row r="85" spans="3:15" ht="15">
      <c r="C85" s="87">
        <v>42397</v>
      </c>
      <c r="D85" s="31">
        <v>8685</v>
      </c>
      <c r="F85" s="124" t="s">
        <v>59</v>
      </c>
      <c r="G85" s="414"/>
      <c r="H85" s="414"/>
      <c r="I85" s="131"/>
      <c r="J85" s="417"/>
      <c r="K85" s="417"/>
      <c r="L85" s="417"/>
      <c r="M85" s="417"/>
      <c r="N85" s="420"/>
      <c r="O85" s="420"/>
    </row>
    <row r="86" spans="3:15" ht="15.75" customHeight="1">
      <c r="C86" s="87">
        <v>42396</v>
      </c>
      <c r="D86" s="31">
        <v>4820.3</v>
      </c>
      <c r="F86" s="73"/>
      <c r="G86" s="414"/>
      <c r="H86" s="414"/>
      <c r="I86" s="131"/>
      <c r="J86" s="421"/>
      <c r="K86" s="421"/>
      <c r="L86" s="421"/>
      <c r="M86" s="421"/>
      <c r="N86" s="420"/>
      <c r="O86" s="420"/>
    </row>
    <row r="87" spans="3:13" ht="15.75" customHeight="1">
      <c r="C87" s="87"/>
      <c r="F87" s="73"/>
      <c r="G87" s="416"/>
      <c r="H87" s="416"/>
      <c r="I87" s="139"/>
      <c r="J87" s="417"/>
      <c r="K87" s="417"/>
      <c r="L87" s="417"/>
      <c r="M87" s="417"/>
    </row>
    <row r="88" spans="2:13" ht="18.75" customHeight="1">
      <c r="B88" s="418" t="s">
        <v>57</v>
      </c>
      <c r="C88" s="419"/>
      <c r="D88" s="148">
        <v>300.92</v>
      </c>
      <c r="E88" s="74"/>
      <c r="F88" s="140"/>
      <c r="G88" s="414"/>
      <c r="H88" s="414"/>
      <c r="I88" s="141"/>
      <c r="J88" s="417"/>
      <c r="K88" s="417"/>
      <c r="L88" s="417"/>
      <c r="M88" s="417"/>
    </row>
    <row r="89" spans="6:12" ht="9.75" customHeight="1">
      <c r="F89" s="73"/>
      <c r="G89" s="414"/>
      <c r="H89" s="414"/>
      <c r="I89" s="73"/>
      <c r="J89" s="74"/>
      <c r="K89" s="74"/>
      <c r="L89" s="74"/>
    </row>
    <row r="90" spans="2:12" ht="22.5" customHeight="1" hidden="1">
      <c r="B90" s="412" t="s">
        <v>60</v>
      </c>
      <c r="C90" s="413"/>
      <c r="D90" s="86">
        <v>0</v>
      </c>
      <c r="E90" s="56" t="s">
        <v>24</v>
      </c>
      <c r="F90" s="73"/>
      <c r="G90" s="414"/>
      <c r="H90" s="41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4"/>
      <c r="O91" s="414"/>
    </row>
    <row r="92" spans="4:15" ht="15">
      <c r="D92" s="83"/>
      <c r="I92" s="31"/>
      <c r="N92" s="415"/>
      <c r="O92" s="415"/>
    </row>
    <row r="93" spans="14:15" ht="15">
      <c r="N93" s="414"/>
      <c r="O93" s="414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2016-09-02T12:20:19Z</cp:lastPrinted>
  <dcterms:created xsi:type="dcterms:W3CDTF">2003-07-28T11:27:56Z</dcterms:created>
  <dcterms:modified xsi:type="dcterms:W3CDTF">2016-09-02T12:24:43Z</dcterms:modified>
  <cp:category/>
  <cp:version/>
  <cp:contentType/>
  <cp:contentStatus/>
</cp:coreProperties>
</file>